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bookViews>
    <workbookView xWindow="4365" yWindow="780" windowWidth="28800" windowHeight="14565"/>
  </bookViews>
  <sheets>
    <sheet name="Your case" sheetId="23" r:id="rId1"/>
    <sheet name="Start here" sheetId="19" r:id="rId2"/>
    <sheet name="Inputs" sheetId="18" r:id="rId3"/>
    <sheet name="Filing Data" sheetId="13" r:id="rId4"/>
    <sheet name="Revenue Engine" sheetId="15" r:id="rId5"/>
    <sheet name="Model" sheetId="4" r:id="rId6"/>
    <sheet name="DCF" sheetId="5" r:id="rId7"/>
    <sheet name="Summary" sheetId="21" r:id="rId8"/>
    <sheet name="Sensitivities" sheetId="10" r:id="rId9"/>
    <sheet name="Moonshot" sheetId="16" r:id="rId10"/>
    <sheet name="Compute Commitments" sheetId="8" r:id="rId11"/>
    <sheet name="Dilution Calcs" sheetId="6" r:id="rId12"/>
    <sheet name="Tax Schedule" sheetId="7" r:id="rId13"/>
    <sheet name="Reverse Valuation" sheetId="9" r:id="rId14"/>
    <sheet name="Historicals" sheetId="12" r:id="rId15"/>
    <sheet name="Checks" sheetId="11" r:id="rId16"/>
  </sheets>
  <definedNames>
    <definedName name="BaseYear">Inputs!$K$265</definedName>
    <definedName name="BetaMature">Inputs!$K$177</definedName>
    <definedName name="CAGRyrs">Inputs!$K$267</definedName>
    <definedName name="CommodMarketTarget">Inputs!$K$31</definedName>
    <definedName name="CostOfEquity">DCF!$E$10</definedName>
    <definedName name="dt_Case">Sensitivities!$E$8</definedName>
    <definedName name="dt_Decay">Sensitivities!$E$495</definedName>
    <definedName name="dt_Growth">Sensitivities!$E$9</definedName>
    <definedName name="dt_Margin">Sensitivities!$E$10</definedName>
    <definedName name="dt_Replay">'Reverse Valuation'!$E$22</definedName>
    <definedName name="dt_Scenario">Sensitivities!$E$7</definedName>
    <definedName name="dt_Serve">Sensitivities!$E$479</definedName>
    <definedName name="dt_TermGrowth">Sensitivities!$E$12</definedName>
    <definedName name="dt_Train">Sensitivities!$E$480</definedName>
    <definedName name="dt_WACC">Sensitivities!$E$11</definedName>
    <definedName name="dt_Your">Sensitivities!$E$120</definedName>
    <definedName name="EquityRiskPremium">Inputs!$K$176</definedName>
    <definedName name="IPODate">Inputs!$K$264</definedName>
    <definedName name="MidYear">Inputs!$K$266</definedName>
    <definedName name="MperB">Inputs!$K$260</definedName>
    <definedName name="MperY">Inputs!$K$262</definedName>
    <definedName name="PlanR3Price">Inputs!$K$200</definedName>
    <definedName name="_xlnm.Print_Area" localSheetId="15">Checks!$A$1:$J$114</definedName>
    <definedName name="_xlnm.Print_Area" localSheetId="10">'Compute Commitments'!$A$1:$AJ$76</definedName>
    <definedName name="_xlnm.Print_Area" localSheetId="6">DCF!$A$1:$O$127</definedName>
    <definedName name="_xlnm.Print_Area" localSheetId="11">'Dilution Calcs'!$A$1:$K$125</definedName>
    <definedName name="_xlnm.Print_Area" localSheetId="3">'Filing Data'!$A$1:$K$122</definedName>
    <definedName name="_xlnm.Print_Area" localSheetId="14">Historicals!$A$1:$S$72</definedName>
    <definedName name="_xlnm.Print_Area" localSheetId="2">Inputs!$A$1:$M$269</definedName>
    <definedName name="_xlnm.Print_Area" localSheetId="5">Model!$A$1:$W$177</definedName>
    <definedName name="_xlnm.Print_Area" localSheetId="9">Moonshot!$A$1:$J$113</definedName>
    <definedName name="_xlnm.Print_Area" localSheetId="4">'Revenue Engine'!$A$1:$Q$111</definedName>
    <definedName name="_xlnm.Print_Area" localSheetId="13">'Reverse Valuation'!$A$1:$K$92</definedName>
    <definedName name="_xlnm.Print_Area" localSheetId="8">Sensitivities!$A$1:$R$505</definedName>
    <definedName name="_xlnm.Print_Area" localSheetId="1">'Start here'!$A$1:$J$63</definedName>
    <definedName name="_xlnm.Print_Area" localSheetId="7">Summary!$A$1:$K$85</definedName>
    <definedName name="_xlnm.Print_Area" localSheetId="12">'Tax Schedule'!$A$1:$Q$26</definedName>
    <definedName name="_xlnm.Print_Titles" localSheetId="15">Checks!$12:$12</definedName>
    <definedName name="_xlnm.Print_Titles" localSheetId="3">'Filing Data'!$6:$6</definedName>
    <definedName name="_xlnm.Print_Titles" localSheetId="2">Inputs!$7:$8</definedName>
    <definedName name="_xlnm.Print_Titles" localSheetId="5">Model!$6:$6</definedName>
    <definedName name="QperY">Inputs!$K$261</definedName>
    <definedName name="RiskFree">Inputs!$K$175</definedName>
    <definedName name="SalesToCapital">Inputs!$K$192</definedName>
    <definedName name="Scenario">'Start here'!$E$5</definedName>
    <definedName name="ScenarioInUse">Inputs!$K$5</definedName>
    <definedName name="StubQ">Inputs!$K$268</definedName>
    <definedName name="Target1p5T">Inputs!$K$256</definedName>
    <definedName name="Target2T">Inputs!$K$257</definedName>
    <definedName name="TaxRate">Inputs!$K$183</definedName>
    <definedName name="TerminalGrowth">Inputs!$K$185</definedName>
    <definedName name="Tol">Inputs!$K$269</definedName>
    <definedName name="tolB">Checks!$F$8</definedName>
    <definedName name="tolM">Checks!$F$7</definedName>
    <definedName name="tolX">Checks!$F$9</definedName>
    <definedName name="ValDate">Inputs!$K$263</definedName>
  </definedNames>
  <calcPr calcId="191029" iterateCount="200" iterateDelta="9.9999999999999995E-7"/>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3" i="10" l="1"/>
  <c r="R28" i="10"/>
  <c r="H22" i="23"/>
  <c r="G22" i="23"/>
  <c r="E22" i="23"/>
  <c r="I22" i="23" s="1"/>
  <c r="H21" i="23"/>
  <c r="G21" i="23"/>
  <c r="E21" i="23"/>
  <c r="H20" i="23"/>
  <c r="G20" i="23"/>
  <c r="E20" i="23"/>
  <c r="H19" i="23"/>
  <c r="G19" i="23"/>
  <c r="E19" i="23"/>
  <c r="H18" i="23"/>
  <c r="G18" i="23"/>
  <c r="E18" i="23"/>
  <c r="H17" i="23"/>
  <c r="G17" i="23"/>
  <c r="E17" i="23"/>
  <c r="H14" i="23"/>
  <c r="G14" i="23"/>
  <c r="E14" i="23"/>
  <c r="H13" i="23"/>
  <c r="G13" i="23"/>
  <c r="E13" i="23"/>
  <c r="I13" i="23" s="1"/>
  <c r="H9" i="23"/>
  <c r="G9" i="23"/>
  <c r="H8" i="23"/>
  <c r="G8" i="23"/>
  <c r="H7" i="23"/>
  <c r="G7" i="23"/>
  <c r="J47" i="21"/>
  <c r="H47" i="21"/>
  <c r="G49" i="11"/>
  <c r="F49" i="11"/>
  <c r="F15" i="15"/>
  <c r="E523" i="10"/>
  <c r="L50" i="18"/>
  <c r="L46" i="18"/>
  <c r="L45" i="18"/>
  <c r="L43" i="18"/>
  <c r="I105" i="11"/>
  <c r="I47" i="21"/>
  <c r="G6" i="19"/>
  <c r="R34" i="10"/>
  <c r="R32" i="10"/>
  <c r="R31" i="10"/>
  <c r="R30" i="10"/>
  <c r="R29" i="10"/>
  <c r="R27" i="10"/>
  <c r="R26" i="10"/>
  <c r="R25" i="10"/>
  <c r="R24" i="10"/>
  <c r="R23" i="10"/>
  <c r="R22" i="10"/>
  <c r="R21" i="10"/>
  <c r="R20" i="10"/>
  <c r="R19" i="10"/>
  <c r="R18" i="10"/>
  <c r="R17" i="10"/>
  <c r="R16" i="10"/>
  <c r="R15" i="10"/>
  <c r="R14" i="10"/>
  <c r="R13" i="10"/>
  <c r="R12" i="10"/>
  <c r="R11" i="10"/>
  <c r="R10" i="10"/>
  <c r="R9" i="10"/>
  <c r="R8" i="10"/>
  <c r="R7" i="10"/>
  <c r="R6" i="10"/>
  <c r="D49" i="19"/>
  <c r="F37" i="19"/>
  <c r="F36" i="19"/>
  <c r="E36" i="19"/>
  <c r="F35" i="19"/>
  <c r="E35" i="19"/>
  <c r="F34" i="19"/>
  <c r="E34" i="19"/>
  <c r="F33" i="19"/>
  <c r="E33" i="19"/>
  <c r="F32" i="19"/>
  <c r="E32" i="19"/>
  <c r="F31" i="19"/>
  <c r="E31" i="19"/>
  <c r="F30" i="19"/>
  <c r="E30" i="19"/>
  <c r="F29" i="19"/>
  <c r="E29" i="19"/>
  <c r="F28" i="19"/>
  <c r="E28" i="19"/>
  <c r="F27" i="19"/>
  <c r="E27" i="19"/>
  <c r="F26" i="19"/>
  <c r="E26" i="19"/>
  <c r="F25" i="19"/>
  <c r="E25" i="19"/>
  <c r="J188" i="18"/>
  <c r="I188" i="18"/>
  <c r="J185" i="18"/>
  <c r="I185" i="18"/>
  <c r="J184" i="18"/>
  <c r="I184" i="18"/>
  <c r="J172" i="18"/>
  <c r="I172" i="18"/>
  <c r="J171" i="18"/>
  <c r="I171" i="18"/>
  <c r="J170" i="18"/>
  <c r="I170" i="18"/>
  <c r="J169" i="18"/>
  <c r="I169" i="18"/>
  <c r="J147" i="18"/>
  <c r="I147" i="18"/>
  <c r="J143" i="18"/>
  <c r="I143" i="18"/>
  <c r="J141" i="18"/>
  <c r="I141" i="18"/>
  <c r="J98" i="18"/>
  <c r="I98" i="18"/>
  <c r="J97" i="18"/>
  <c r="I97" i="18"/>
  <c r="E82" i="21"/>
  <c r="F21" i="19" s="1"/>
  <c r="D79" i="21"/>
  <c r="J72" i="21"/>
  <c r="I72" i="21"/>
  <c r="H72" i="21"/>
  <c r="G72" i="21"/>
  <c r="F72" i="21"/>
  <c r="E72" i="21"/>
  <c r="J71" i="21"/>
  <c r="I71" i="21"/>
  <c r="H71" i="21"/>
  <c r="G71" i="21"/>
  <c r="F71" i="21"/>
  <c r="E71" i="21"/>
  <c r="J70" i="21"/>
  <c r="I70" i="21"/>
  <c r="H70" i="21"/>
  <c r="G70" i="21"/>
  <c r="F70" i="21"/>
  <c r="E70" i="21"/>
  <c r="D65" i="21"/>
  <c r="D64" i="21"/>
  <c r="D63" i="21"/>
  <c r="D62" i="21"/>
  <c r="D59" i="21"/>
  <c r="D58" i="21"/>
  <c r="D57" i="21"/>
  <c r="D55" i="21"/>
  <c r="G47" i="21"/>
  <c r="F47" i="21"/>
  <c r="E47" i="21"/>
  <c r="J46" i="21"/>
  <c r="I46" i="21"/>
  <c r="H46" i="21"/>
  <c r="G46" i="21"/>
  <c r="F46" i="21"/>
  <c r="E46" i="21"/>
  <c r="J33" i="21"/>
  <c r="I33" i="21"/>
  <c r="H33" i="21"/>
  <c r="G33" i="21"/>
  <c r="F33" i="21"/>
  <c r="E33" i="21"/>
  <c r="J32" i="21"/>
  <c r="I32" i="21"/>
  <c r="H32" i="21"/>
  <c r="G32" i="21"/>
  <c r="F32" i="21"/>
  <c r="E32" i="21"/>
  <c r="J31" i="21"/>
  <c r="I31" i="21"/>
  <c r="H31" i="21"/>
  <c r="G31" i="21"/>
  <c r="F31" i="21"/>
  <c r="E31" i="21"/>
  <c r="J30" i="21"/>
  <c r="I30" i="21"/>
  <c r="H30" i="21"/>
  <c r="G30" i="21"/>
  <c r="F30" i="21"/>
  <c r="E30" i="21"/>
  <c r="J29" i="21"/>
  <c r="I29" i="21"/>
  <c r="H29" i="21"/>
  <c r="G29" i="21"/>
  <c r="F29" i="21"/>
  <c r="E29" i="21"/>
  <c r="J28" i="21"/>
  <c r="I28" i="21"/>
  <c r="H28" i="21"/>
  <c r="G28" i="21"/>
  <c r="F28" i="21"/>
  <c r="E28" i="21"/>
  <c r="J34" i="21"/>
  <c r="I34" i="21"/>
  <c r="H34" i="21"/>
  <c r="G34" i="21"/>
  <c r="F34" i="21"/>
  <c r="E34" i="21"/>
  <c r="J27" i="21"/>
  <c r="I27" i="21"/>
  <c r="H27" i="21"/>
  <c r="G27" i="21"/>
  <c r="F27" i="21"/>
  <c r="E27" i="21"/>
  <c r="J26" i="21"/>
  <c r="J11" i="19" s="1"/>
  <c r="I26" i="21"/>
  <c r="J13" i="19" s="1"/>
  <c r="H26" i="21"/>
  <c r="J14" i="19" s="1"/>
  <c r="G26" i="21"/>
  <c r="J18" i="19" s="1"/>
  <c r="F26" i="21"/>
  <c r="J12" i="19" s="1"/>
  <c r="E26" i="21"/>
  <c r="J19" i="19" s="1"/>
  <c r="J25" i="21"/>
  <c r="I25" i="21"/>
  <c r="H25" i="21"/>
  <c r="G25" i="21"/>
  <c r="F25" i="21"/>
  <c r="E25" i="21"/>
  <c r="J24" i="21"/>
  <c r="I11" i="19" s="1"/>
  <c r="I24" i="21"/>
  <c r="I13" i="19" s="1"/>
  <c r="H24" i="21"/>
  <c r="I14" i="19" s="1"/>
  <c r="G24" i="21"/>
  <c r="I18" i="19" s="1"/>
  <c r="F24" i="21"/>
  <c r="I12" i="19" s="1"/>
  <c r="E24" i="21"/>
  <c r="I19" i="19" s="1"/>
  <c r="J23" i="21"/>
  <c r="I23" i="21"/>
  <c r="H23" i="21"/>
  <c r="G23" i="21"/>
  <c r="F23" i="21"/>
  <c r="E23" i="21"/>
  <c r="J22" i="21"/>
  <c r="I22" i="21"/>
  <c r="H22" i="21"/>
  <c r="G22" i="21"/>
  <c r="F22" i="21"/>
  <c r="E22" i="21"/>
  <c r="K8" i="21"/>
  <c r="J8" i="21"/>
  <c r="E11" i="19" s="1"/>
  <c r="I8" i="21"/>
  <c r="E13" i="19" s="1"/>
  <c r="H8" i="21"/>
  <c r="E14" i="19" s="1"/>
  <c r="G8" i="21"/>
  <c r="F8" i="21"/>
  <c r="E12" i="19" s="1"/>
  <c r="E8" i="21"/>
  <c r="G96" i="11" s="1"/>
  <c r="J7" i="21"/>
  <c r="G11" i="19" s="1"/>
  <c r="I7" i="21"/>
  <c r="G13" i="19" s="1"/>
  <c r="H7" i="21"/>
  <c r="G14" i="19" s="1"/>
  <c r="G7" i="21"/>
  <c r="G18" i="19" s="1"/>
  <c r="F7" i="21"/>
  <c r="G12" i="19" s="1"/>
  <c r="E7" i="21"/>
  <c r="J6" i="21"/>
  <c r="I6" i="21"/>
  <c r="H6" i="21"/>
  <c r="G6" i="21"/>
  <c r="F6" i="21"/>
  <c r="E6" i="21"/>
  <c r="E503" i="10"/>
  <c r="F503" i="10"/>
  <c r="G503" i="10"/>
  <c r="H503" i="10"/>
  <c r="I503" i="10"/>
  <c r="J503" i="10"/>
  <c r="E492" i="10"/>
  <c r="K248" i="18"/>
  <c r="F91" i="11" s="1"/>
  <c r="K228" i="18"/>
  <c r="E13" i="5" s="1"/>
  <c r="K229" i="18"/>
  <c r="K230" i="18"/>
  <c r="E15" i="5" s="1"/>
  <c r="F238" i="18"/>
  <c r="G238" i="18"/>
  <c r="H238" i="18"/>
  <c r="K211" i="18"/>
  <c r="G66" i="4" s="1"/>
  <c r="K214" i="18"/>
  <c r="K184" i="18"/>
  <c r="K185" i="18"/>
  <c r="K188" i="18"/>
  <c r="F184" i="18"/>
  <c r="H184" i="18"/>
  <c r="F185" i="18"/>
  <c r="H185" i="18"/>
  <c r="F188" i="18"/>
  <c r="H188" i="18"/>
  <c r="K169" i="18"/>
  <c r="K170" i="18"/>
  <c r="K171" i="18"/>
  <c r="K172" i="18"/>
  <c r="F169" i="18"/>
  <c r="H169" i="18"/>
  <c r="F170" i="18"/>
  <c r="H170" i="18"/>
  <c r="F171" i="18"/>
  <c r="H171" i="18"/>
  <c r="F172" i="18"/>
  <c r="H172" i="18"/>
  <c r="K147" i="18"/>
  <c r="K151" i="18"/>
  <c r="K153" i="18"/>
  <c r="F147" i="18"/>
  <c r="H147" i="18"/>
  <c r="K141" i="18"/>
  <c r="K143" i="18"/>
  <c r="K144" i="18"/>
  <c r="F141" i="18"/>
  <c r="H141" i="18"/>
  <c r="F143" i="18"/>
  <c r="H143" i="18"/>
  <c r="K138" i="18"/>
  <c r="K139" i="18"/>
  <c r="F22" i="15" s="1"/>
  <c r="K131" i="18"/>
  <c r="F86" i="15" s="1"/>
  <c r="K114" i="18"/>
  <c r="K118" i="18"/>
  <c r="K103" i="18"/>
  <c r="K104" i="18"/>
  <c r="K162" i="18" s="1"/>
  <c r="K109" i="18"/>
  <c r="K127" i="18" s="1"/>
  <c r="K99" i="18"/>
  <c r="K95" i="18"/>
  <c r="G37" i="4" s="1"/>
  <c r="K96" i="18"/>
  <c r="K97" i="18"/>
  <c r="K98" i="18"/>
  <c r="F97" i="18"/>
  <c r="H97" i="18"/>
  <c r="F98" i="18"/>
  <c r="H98" i="18"/>
  <c r="K77" i="18"/>
  <c r="K80" i="18"/>
  <c r="K116" i="18" s="1"/>
  <c r="J72" i="18"/>
  <c r="I72" i="18"/>
  <c r="H72" i="18"/>
  <c r="K65" i="18"/>
  <c r="J58" i="18"/>
  <c r="H58" i="18"/>
  <c r="G58" i="18"/>
  <c r="L52" i="18"/>
  <c r="J52" i="18"/>
  <c r="I52" i="18"/>
  <c r="H52" i="18"/>
  <c r="G52" i="18"/>
  <c r="F52" i="18"/>
  <c r="H51" i="18"/>
  <c r="J50" i="18"/>
  <c r="I50" i="18"/>
  <c r="H50" i="18"/>
  <c r="G50" i="18"/>
  <c r="F50" i="18"/>
  <c r="D50" i="18"/>
  <c r="L49" i="18"/>
  <c r="J49" i="18"/>
  <c r="I49" i="18"/>
  <c r="H49" i="18"/>
  <c r="G49" i="18"/>
  <c r="F49" i="18"/>
  <c r="D49" i="18"/>
  <c r="L48" i="18"/>
  <c r="J48" i="18"/>
  <c r="I48" i="18"/>
  <c r="H48" i="18"/>
  <c r="G48" i="18"/>
  <c r="F48" i="18"/>
  <c r="D48" i="18"/>
  <c r="L47" i="18"/>
  <c r="J47" i="18"/>
  <c r="I47" i="18"/>
  <c r="H47" i="18"/>
  <c r="G47" i="18"/>
  <c r="F47" i="18"/>
  <c r="D47" i="18"/>
  <c r="J46" i="18"/>
  <c r="I46" i="18"/>
  <c r="H46" i="18"/>
  <c r="G46" i="18"/>
  <c r="F46" i="18"/>
  <c r="D46" i="18"/>
  <c r="J45" i="18"/>
  <c r="I45" i="18"/>
  <c r="H45" i="18"/>
  <c r="G45" i="18"/>
  <c r="F45" i="18"/>
  <c r="D45" i="18"/>
  <c r="L44" i="18"/>
  <c r="J44" i="18"/>
  <c r="I44" i="18"/>
  <c r="H44" i="18"/>
  <c r="G44" i="18"/>
  <c r="F44" i="18"/>
  <c r="D44" i="18"/>
  <c r="J43" i="18"/>
  <c r="I43" i="18"/>
  <c r="H43" i="18"/>
  <c r="G43" i="18"/>
  <c r="F43" i="18"/>
  <c r="D43" i="18"/>
  <c r="L42" i="18"/>
  <c r="J42" i="18"/>
  <c r="I42" i="18"/>
  <c r="H42" i="18"/>
  <c r="G42" i="18"/>
  <c r="F42" i="18"/>
  <c r="D42" i="18"/>
  <c r="L41" i="18"/>
  <c r="J41" i="18"/>
  <c r="I41" i="18"/>
  <c r="H41" i="18"/>
  <c r="G41" i="18"/>
  <c r="F41" i="18"/>
  <c r="D41" i="18"/>
  <c r="L40" i="18"/>
  <c r="J40" i="18"/>
  <c r="I40" i="18"/>
  <c r="H40" i="18"/>
  <c r="G40" i="18"/>
  <c r="F40" i="18"/>
  <c r="D40" i="18"/>
  <c r="L39" i="18"/>
  <c r="J39" i="18"/>
  <c r="I39" i="18"/>
  <c r="H39" i="18"/>
  <c r="G39" i="18"/>
  <c r="F39" i="18"/>
  <c r="D39" i="18"/>
  <c r="L38" i="18"/>
  <c r="J38" i="18"/>
  <c r="I38" i="18"/>
  <c r="H38" i="18"/>
  <c r="G38" i="18"/>
  <c r="F38" i="18"/>
  <c r="D38" i="18"/>
  <c r="K37" i="18"/>
  <c r="K33" i="18"/>
  <c r="J27" i="18"/>
  <c r="I27" i="18"/>
  <c r="H27" i="18"/>
  <c r="G27" i="18"/>
  <c r="F27" i="18"/>
  <c r="J16" i="18"/>
  <c r="I16" i="18"/>
  <c r="H16" i="18"/>
  <c r="J14" i="18"/>
  <c r="K5" i="18"/>
  <c r="H104" i="11"/>
  <c r="G104" i="11"/>
  <c r="I103" i="11"/>
  <c r="I102" i="11"/>
  <c r="I101" i="11"/>
  <c r="I99" i="11"/>
  <c r="G99" i="11"/>
  <c r="I98" i="11"/>
  <c r="I97" i="11"/>
  <c r="I96" i="11"/>
  <c r="I122" i="6"/>
  <c r="I121" i="6"/>
  <c r="I120" i="6"/>
  <c r="H473" i="10"/>
  <c r="G473" i="10"/>
  <c r="F82" i="21" s="1"/>
  <c r="G21" i="19" s="1"/>
  <c r="H21" i="19" s="1"/>
  <c r="K469" i="10"/>
  <c r="J469" i="10"/>
  <c r="I469" i="10"/>
  <c r="H469" i="10"/>
  <c r="G469" i="10"/>
  <c r="F469" i="10"/>
  <c r="E115" i="5"/>
  <c r="L462" i="10"/>
  <c r="L461" i="10"/>
  <c r="K460" i="10"/>
  <c r="J460" i="10"/>
  <c r="I460" i="10"/>
  <c r="H460" i="10"/>
  <c r="G460" i="10"/>
  <c r="F460" i="10"/>
  <c r="E460" i="10"/>
  <c r="K459" i="10"/>
  <c r="J459" i="10"/>
  <c r="I459" i="10"/>
  <c r="H459" i="10"/>
  <c r="G459" i="10"/>
  <c r="F459" i="10"/>
  <c r="E459" i="10"/>
  <c r="F112" i="16"/>
  <c r="G67" i="11"/>
  <c r="I100" i="16"/>
  <c r="H100" i="16"/>
  <c r="G100" i="16"/>
  <c r="F100" i="16"/>
  <c r="I98" i="16"/>
  <c r="H98" i="16"/>
  <c r="G98" i="16"/>
  <c r="F98" i="16"/>
  <c r="G93" i="16"/>
  <c r="F93" i="16"/>
  <c r="G92" i="16"/>
  <c r="F92" i="16"/>
  <c r="G91" i="16"/>
  <c r="F91" i="16"/>
  <c r="H85" i="16"/>
  <c r="G85" i="16"/>
  <c r="F85" i="16"/>
  <c r="F63" i="16"/>
  <c r="F40" i="16"/>
  <c r="F20" i="16"/>
  <c r="F17" i="16"/>
  <c r="F11" i="16"/>
  <c r="F8" i="16"/>
  <c r="O311" i="10"/>
  <c r="N311" i="10"/>
  <c r="M311" i="10"/>
  <c r="L311" i="10"/>
  <c r="K311" i="10"/>
  <c r="J311" i="10"/>
  <c r="I311" i="10"/>
  <c r="H311" i="10"/>
  <c r="G311" i="10"/>
  <c r="F311" i="10"/>
  <c r="O310" i="10"/>
  <c r="N310" i="10"/>
  <c r="M310" i="10"/>
  <c r="L310" i="10"/>
  <c r="K310" i="10"/>
  <c r="J310" i="10"/>
  <c r="I310" i="10"/>
  <c r="H310" i="10"/>
  <c r="G310" i="10"/>
  <c r="F310" i="10"/>
  <c r="O309" i="10"/>
  <c r="N309" i="10"/>
  <c r="M309" i="10"/>
  <c r="L309" i="10"/>
  <c r="K309" i="10"/>
  <c r="J309" i="10"/>
  <c r="I309" i="10"/>
  <c r="H309" i="10"/>
  <c r="G309" i="10"/>
  <c r="F309" i="10"/>
  <c r="O308" i="10"/>
  <c r="N308" i="10"/>
  <c r="M308" i="10"/>
  <c r="L308" i="10"/>
  <c r="K308" i="10"/>
  <c r="J308" i="10"/>
  <c r="I308" i="10"/>
  <c r="H308" i="10"/>
  <c r="G308" i="10"/>
  <c r="F308" i="10"/>
  <c r="O307" i="10"/>
  <c r="N307" i="10"/>
  <c r="M307" i="10"/>
  <c r="L307" i="10"/>
  <c r="K307" i="10"/>
  <c r="J307" i="10"/>
  <c r="I307" i="10"/>
  <c r="H307" i="10"/>
  <c r="G307" i="10"/>
  <c r="F307" i="10"/>
  <c r="O306" i="10"/>
  <c r="N306" i="10"/>
  <c r="M306" i="10"/>
  <c r="L306" i="10"/>
  <c r="K306" i="10"/>
  <c r="J306" i="10"/>
  <c r="I306" i="10"/>
  <c r="H306" i="10"/>
  <c r="G306" i="10"/>
  <c r="F306" i="10"/>
  <c r="O305" i="10"/>
  <c r="N305" i="10"/>
  <c r="M305" i="10"/>
  <c r="L305" i="10"/>
  <c r="K305" i="10"/>
  <c r="J305" i="10"/>
  <c r="I305" i="10"/>
  <c r="H305" i="10"/>
  <c r="G305" i="10"/>
  <c r="F305" i="10"/>
  <c r="O304" i="10"/>
  <c r="N304" i="10"/>
  <c r="M304" i="10"/>
  <c r="L304" i="10"/>
  <c r="K304" i="10"/>
  <c r="J304" i="10"/>
  <c r="I304" i="10"/>
  <c r="H304" i="10"/>
  <c r="G304" i="10"/>
  <c r="F304" i="10"/>
  <c r="O303" i="10"/>
  <c r="N303" i="10"/>
  <c r="M303" i="10"/>
  <c r="L303" i="10"/>
  <c r="K303" i="10"/>
  <c r="J303" i="10"/>
  <c r="I303" i="10"/>
  <c r="H303" i="10"/>
  <c r="G303" i="10"/>
  <c r="F303" i="10"/>
  <c r="O302" i="10"/>
  <c r="N302" i="10"/>
  <c r="M302" i="10"/>
  <c r="L302" i="10"/>
  <c r="K302" i="10"/>
  <c r="J302" i="10"/>
  <c r="I302" i="10"/>
  <c r="H302" i="10"/>
  <c r="G302" i="10"/>
  <c r="F302" i="10"/>
  <c r="O301" i="10"/>
  <c r="N301" i="10"/>
  <c r="M301" i="10"/>
  <c r="L301" i="10"/>
  <c r="K301" i="10"/>
  <c r="J301" i="10"/>
  <c r="I301" i="10"/>
  <c r="H301" i="10"/>
  <c r="G301" i="10"/>
  <c r="F301" i="10"/>
  <c r="O300" i="10"/>
  <c r="N300" i="10"/>
  <c r="M300" i="10"/>
  <c r="L300" i="10"/>
  <c r="K300" i="10"/>
  <c r="J300" i="10"/>
  <c r="I300" i="10"/>
  <c r="H300" i="10"/>
  <c r="G300" i="10"/>
  <c r="F300" i="10"/>
  <c r="O299" i="10"/>
  <c r="N299" i="10"/>
  <c r="M299" i="10"/>
  <c r="L299" i="10"/>
  <c r="K299" i="10"/>
  <c r="J299" i="10"/>
  <c r="I299" i="10"/>
  <c r="H299" i="10"/>
  <c r="G299" i="10"/>
  <c r="F299" i="10"/>
  <c r="O298" i="10"/>
  <c r="N298" i="10"/>
  <c r="M298" i="10"/>
  <c r="L298" i="10"/>
  <c r="K298" i="10"/>
  <c r="J298" i="10"/>
  <c r="I298" i="10"/>
  <c r="H298" i="10"/>
  <c r="G298" i="10"/>
  <c r="F298" i="10"/>
  <c r="O295" i="10"/>
  <c r="N295" i="10"/>
  <c r="M295" i="10"/>
  <c r="L295" i="10"/>
  <c r="K295" i="10"/>
  <c r="J295" i="10"/>
  <c r="I295" i="10"/>
  <c r="H295" i="10"/>
  <c r="G295" i="10"/>
  <c r="F295" i="10"/>
  <c r="O294" i="10"/>
  <c r="N294" i="10"/>
  <c r="M294" i="10"/>
  <c r="L294" i="10"/>
  <c r="K294" i="10"/>
  <c r="J294" i="10"/>
  <c r="I294" i="10"/>
  <c r="H294" i="10"/>
  <c r="G294" i="10"/>
  <c r="F294" i="10"/>
  <c r="O293" i="10"/>
  <c r="N293" i="10"/>
  <c r="M293" i="10"/>
  <c r="L293" i="10"/>
  <c r="K293" i="10"/>
  <c r="J293" i="10"/>
  <c r="I293" i="10"/>
  <c r="H293" i="10"/>
  <c r="G293" i="10"/>
  <c r="F293" i="10"/>
  <c r="O292" i="10"/>
  <c r="N292" i="10"/>
  <c r="M292" i="10"/>
  <c r="L292" i="10"/>
  <c r="K292" i="10"/>
  <c r="J292" i="10"/>
  <c r="I292" i="10"/>
  <c r="H292" i="10"/>
  <c r="G292" i="10"/>
  <c r="F292" i="10"/>
  <c r="O291" i="10"/>
  <c r="N291" i="10"/>
  <c r="M291" i="10"/>
  <c r="L291" i="10"/>
  <c r="K291" i="10"/>
  <c r="J291" i="10"/>
  <c r="I291" i="10"/>
  <c r="H291" i="10"/>
  <c r="G291" i="10"/>
  <c r="F291" i="10"/>
  <c r="O290" i="10"/>
  <c r="N290" i="10"/>
  <c r="M290" i="10"/>
  <c r="L290" i="10"/>
  <c r="K290" i="10"/>
  <c r="J290" i="10"/>
  <c r="I290" i="10"/>
  <c r="H290" i="10"/>
  <c r="G290" i="10"/>
  <c r="F290" i="10"/>
  <c r="O289" i="10"/>
  <c r="N289" i="10"/>
  <c r="M289" i="10"/>
  <c r="L289" i="10"/>
  <c r="K289" i="10"/>
  <c r="J289" i="10"/>
  <c r="I289" i="10"/>
  <c r="H289" i="10"/>
  <c r="G289" i="10"/>
  <c r="F289" i="10"/>
  <c r="O288" i="10"/>
  <c r="N288" i="10"/>
  <c r="M288" i="10"/>
  <c r="L288" i="10"/>
  <c r="K288" i="10"/>
  <c r="J288" i="10"/>
  <c r="I288" i="10"/>
  <c r="H288" i="10"/>
  <c r="G288" i="10"/>
  <c r="F288" i="10"/>
  <c r="O287" i="10"/>
  <c r="N287" i="10"/>
  <c r="M287" i="10"/>
  <c r="L287" i="10"/>
  <c r="K287" i="10"/>
  <c r="J287" i="10"/>
  <c r="I287" i="10"/>
  <c r="H287" i="10"/>
  <c r="G287" i="10"/>
  <c r="F287" i="10"/>
  <c r="O286" i="10"/>
  <c r="N286" i="10"/>
  <c r="M286" i="10"/>
  <c r="L286" i="10"/>
  <c r="K286" i="10"/>
  <c r="J286" i="10"/>
  <c r="I286" i="10"/>
  <c r="H286" i="10"/>
  <c r="G286" i="10"/>
  <c r="F286" i="10"/>
  <c r="O285" i="10"/>
  <c r="N285" i="10"/>
  <c r="M285" i="10"/>
  <c r="L285" i="10"/>
  <c r="K285" i="10"/>
  <c r="J285" i="10"/>
  <c r="I285" i="10"/>
  <c r="H285" i="10"/>
  <c r="G285" i="10"/>
  <c r="F285" i="10"/>
  <c r="O284" i="10"/>
  <c r="N284" i="10"/>
  <c r="M284" i="10"/>
  <c r="L284" i="10"/>
  <c r="K284" i="10"/>
  <c r="J284" i="10"/>
  <c r="I284" i="10"/>
  <c r="H284" i="10"/>
  <c r="G284" i="10"/>
  <c r="F284" i="10"/>
  <c r="O283" i="10"/>
  <c r="N283" i="10"/>
  <c r="M283" i="10"/>
  <c r="L283" i="10"/>
  <c r="K283" i="10"/>
  <c r="J283" i="10"/>
  <c r="I283" i="10"/>
  <c r="H283" i="10"/>
  <c r="G283" i="10"/>
  <c r="F283" i="10"/>
  <c r="O282" i="10"/>
  <c r="N282" i="10"/>
  <c r="M282" i="10"/>
  <c r="L282" i="10"/>
  <c r="K282" i="10"/>
  <c r="J282" i="10"/>
  <c r="I282" i="10"/>
  <c r="H282" i="10"/>
  <c r="G282" i="10"/>
  <c r="F282" i="10"/>
  <c r="K277" i="10"/>
  <c r="J277" i="10"/>
  <c r="I277" i="10"/>
  <c r="H277" i="10"/>
  <c r="G277" i="10"/>
  <c r="F277" i="10"/>
  <c r="G272" i="10"/>
  <c r="G271" i="10"/>
  <c r="G270" i="10"/>
  <c r="G269" i="10"/>
  <c r="G268" i="10"/>
  <c r="G267" i="10"/>
  <c r="G266" i="10"/>
  <c r="G265" i="10"/>
  <c r="G264" i="10"/>
  <c r="F87" i="11"/>
  <c r="H163" i="4"/>
  <c r="I163" i="4"/>
  <c r="J163" i="4"/>
  <c r="K163" i="4"/>
  <c r="L163" i="4"/>
  <c r="M163" i="4"/>
  <c r="N163" i="4"/>
  <c r="O163" i="4"/>
  <c r="P163" i="4"/>
  <c r="Q163" i="4"/>
  <c r="G65" i="11"/>
  <c r="H64" i="11"/>
  <c r="G64" i="11"/>
  <c r="G63" i="11"/>
  <c r="J210" i="10"/>
  <c r="I210" i="10"/>
  <c r="H210" i="10"/>
  <c r="G210" i="10"/>
  <c r="F210" i="10"/>
  <c r="E111" i="5"/>
  <c r="P29" i="15"/>
  <c r="O29" i="15"/>
  <c r="N29" i="15"/>
  <c r="M29" i="15"/>
  <c r="L29" i="15"/>
  <c r="K29" i="15"/>
  <c r="J29" i="15"/>
  <c r="I29" i="15"/>
  <c r="H29" i="15"/>
  <c r="G29" i="15"/>
  <c r="F29" i="15"/>
  <c r="G59" i="11"/>
  <c r="F177" i="10"/>
  <c r="E143" i="10"/>
  <c r="F24" i="15"/>
  <c r="E69" i="10"/>
  <c r="P35" i="15"/>
  <c r="O35" i="15"/>
  <c r="N35" i="15"/>
  <c r="M35" i="15"/>
  <c r="L35" i="15"/>
  <c r="K35" i="15"/>
  <c r="J35" i="15"/>
  <c r="I35" i="15"/>
  <c r="H35" i="15"/>
  <c r="G35" i="15"/>
  <c r="F35" i="15"/>
  <c r="P31" i="15"/>
  <c r="O31" i="15"/>
  <c r="N31" i="15"/>
  <c r="M31" i="15"/>
  <c r="L31" i="15"/>
  <c r="K31" i="15"/>
  <c r="J31" i="15"/>
  <c r="I31" i="15"/>
  <c r="H31" i="15"/>
  <c r="G31" i="15"/>
  <c r="F31" i="15"/>
  <c r="F23" i="15"/>
  <c r="H58" i="11"/>
  <c r="G58" i="11"/>
  <c r="I54" i="9"/>
  <c r="H54" i="9"/>
  <c r="G54" i="9"/>
  <c r="F54" i="9"/>
  <c r="E54" i="9"/>
  <c r="I48" i="9"/>
  <c r="H48" i="9"/>
  <c r="G48" i="9"/>
  <c r="F48" i="9"/>
  <c r="E48" i="9"/>
  <c r="H53" i="11"/>
  <c r="G53" i="11"/>
  <c r="I70" i="13"/>
  <c r="G19" i="11"/>
  <c r="F19" i="11"/>
  <c r="I25" i="11"/>
  <c r="H25" i="11"/>
  <c r="G25" i="11"/>
  <c r="G16" i="11"/>
  <c r="F16" i="11"/>
  <c r="M8" i="8"/>
  <c r="E21" i="5"/>
  <c r="H71" i="12"/>
  <c r="J56" i="12"/>
  <c r="J48" i="12"/>
  <c r="J47" i="12"/>
  <c r="J46" i="12"/>
  <c r="J45" i="12"/>
  <c r="J44" i="12"/>
  <c r="J42" i="12"/>
  <c r="J34" i="12"/>
  <c r="J31" i="12"/>
  <c r="J30" i="12"/>
  <c r="J29" i="12"/>
  <c r="J28" i="12"/>
  <c r="J27" i="12"/>
  <c r="J15" i="12"/>
  <c r="Q24" i="12"/>
  <c r="Q34" i="12"/>
  <c r="Q31" i="12"/>
  <c r="Q30" i="12"/>
  <c r="Q27" i="12"/>
  <c r="Q23" i="12"/>
  <c r="Q15" i="12"/>
  <c r="H27" i="11"/>
  <c r="G76" i="8"/>
  <c r="G75" i="8"/>
  <c r="I32" i="8"/>
  <c r="H32" i="8"/>
  <c r="G32" i="8"/>
  <c r="E32" i="8"/>
  <c r="E93" i="5"/>
  <c r="E90" i="5"/>
  <c r="F31" i="4"/>
  <c r="F30" i="4"/>
  <c r="F28" i="4"/>
  <c r="F27" i="4"/>
  <c r="F21" i="11"/>
  <c r="F20" i="11"/>
  <c r="F18" i="11"/>
  <c r="E73" i="5"/>
  <c r="M9" i="8"/>
  <c r="L8" i="8"/>
  <c r="E69" i="9"/>
  <c r="E68" i="9"/>
  <c r="E67" i="9"/>
  <c r="E66" i="9"/>
  <c r="E65" i="9"/>
  <c r="E64" i="9"/>
  <c r="E63" i="9"/>
  <c r="E60" i="9"/>
  <c r="E59" i="9"/>
  <c r="E58" i="9"/>
  <c r="J13" i="9"/>
  <c r="I13" i="9"/>
  <c r="H13" i="9"/>
  <c r="G13" i="9"/>
  <c r="F13" i="9"/>
  <c r="E13" i="9"/>
  <c r="J12" i="9"/>
  <c r="I12" i="9"/>
  <c r="H12" i="9"/>
  <c r="G12" i="9"/>
  <c r="F12" i="9"/>
  <c r="E12" i="9"/>
  <c r="J11" i="9"/>
  <c r="I11" i="9"/>
  <c r="H11" i="9"/>
  <c r="G11" i="9"/>
  <c r="F11" i="9"/>
  <c r="E11" i="9"/>
  <c r="J10" i="9"/>
  <c r="I10" i="9"/>
  <c r="H10" i="9"/>
  <c r="G10" i="9"/>
  <c r="F10" i="9"/>
  <c r="E10" i="9"/>
  <c r="J9" i="9"/>
  <c r="I9" i="9"/>
  <c r="H9" i="9"/>
  <c r="G9" i="9"/>
  <c r="F9" i="9"/>
  <c r="E9" i="9"/>
  <c r="I115" i="6"/>
  <c r="I114" i="6"/>
  <c r="I113" i="6"/>
  <c r="I112" i="6"/>
  <c r="I104" i="6"/>
  <c r="I101" i="6"/>
  <c r="I98" i="6"/>
  <c r="I79" i="6"/>
  <c r="I78" i="6"/>
  <c r="I76" i="6"/>
  <c r="I75" i="6"/>
  <c r="I74" i="6"/>
  <c r="I73" i="6"/>
  <c r="I72" i="6"/>
  <c r="I67" i="6"/>
  <c r="I66" i="6"/>
  <c r="I65" i="6"/>
  <c r="I64" i="6"/>
  <c r="I62" i="6"/>
  <c r="I61" i="6"/>
  <c r="I60" i="6"/>
  <c r="I59" i="6"/>
  <c r="I58" i="6"/>
  <c r="I49" i="6"/>
  <c r="I45" i="6"/>
  <c r="I44" i="6"/>
  <c r="I41" i="6"/>
  <c r="I31" i="6"/>
  <c r="I30" i="6"/>
  <c r="I24" i="6"/>
  <c r="I23" i="6"/>
  <c r="I22" i="6"/>
  <c r="I19" i="6"/>
  <c r="I18" i="6"/>
  <c r="I16" i="6"/>
  <c r="I14" i="6"/>
  <c r="I13" i="6"/>
  <c r="I12" i="6"/>
  <c r="I11" i="6"/>
  <c r="I10" i="6"/>
  <c r="I9" i="6"/>
  <c r="F68" i="8"/>
  <c r="F67" i="8"/>
  <c r="F66" i="8"/>
  <c r="F65" i="8"/>
  <c r="F64" i="8"/>
  <c r="F63" i="8"/>
  <c r="F62" i="8"/>
  <c r="F61" i="8"/>
  <c r="F60" i="8"/>
  <c r="F59" i="8"/>
  <c r="F58" i="8"/>
  <c r="F57" i="8"/>
  <c r="F56" i="8"/>
  <c r="F55" i="8"/>
  <c r="F54" i="8"/>
  <c r="F53" i="8"/>
  <c r="I33" i="8"/>
  <c r="H33" i="8"/>
  <c r="G33" i="8"/>
  <c r="E33" i="8"/>
  <c r="I31" i="8"/>
  <c r="H31" i="8"/>
  <c r="G31" i="8"/>
  <c r="E31" i="8"/>
  <c r="I30" i="8"/>
  <c r="H30" i="8"/>
  <c r="G30" i="8"/>
  <c r="F30" i="8"/>
  <c r="E30" i="8"/>
  <c r="I29" i="8"/>
  <c r="H29" i="8"/>
  <c r="G29" i="8"/>
  <c r="E29" i="8"/>
  <c r="I28" i="8"/>
  <c r="H28" i="8"/>
  <c r="G28" i="8"/>
  <c r="F28" i="8"/>
  <c r="E28" i="8"/>
  <c r="I27" i="8"/>
  <c r="H27" i="8"/>
  <c r="G27" i="8"/>
  <c r="F27" i="8"/>
  <c r="E27" i="8"/>
  <c r="I26" i="8"/>
  <c r="E26" i="8"/>
  <c r="I25" i="8"/>
  <c r="E25" i="8"/>
  <c r="I24" i="8"/>
  <c r="E24" i="8"/>
  <c r="I23" i="8"/>
  <c r="G23" i="8"/>
  <c r="E23" i="8"/>
  <c r="I22" i="8"/>
  <c r="G22" i="8"/>
  <c r="E22" i="8"/>
  <c r="I21" i="8"/>
  <c r="G21" i="8"/>
  <c r="E21" i="8"/>
  <c r="I20" i="8"/>
  <c r="G20" i="8"/>
  <c r="E20" i="8"/>
  <c r="I19" i="8"/>
  <c r="G19" i="8"/>
  <c r="E19" i="8"/>
  <c r="I18" i="8"/>
  <c r="G18" i="8"/>
  <c r="F18" i="8"/>
  <c r="E18" i="8"/>
  <c r="I17" i="8"/>
  <c r="H17" i="8"/>
  <c r="G17" i="8"/>
  <c r="F17" i="8"/>
  <c r="E17" i="8"/>
  <c r="I16" i="8"/>
  <c r="H16" i="8"/>
  <c r="G16" i="8"/>
  <c r="F16" i="8"/>
  <c r="E16" i="8"/>
  <c r="I15" i="8"/>
  <c r="H15" i="8"/>
  <c r="G15" i="8"/>
  <c r="F15" i="8"/>
  <c r="E15" i="8"/>
  <c r="I93" i="10"/>
  <c r="E62" i="9"/>
  <c r="I71" i="6"/>
  <c r="G71" i="12"/>
  <c r="F71" i="12"/>
  <c r="E71" i="12"/>
  <c r="I56" i="12"/>
  <c r="H56" i="12"/>
  <c r="G56" i="12"/>
  <c r="F56" i="12"/>
  <c r="E56" i="12"/>
  <c r="I48" i="12"/>
  <c r="H48" i="12"/>
  <c r="G48" i="12"/>
  <c r="F48" i="12"/>
  <c r="E48" i="12"/>
  <c r="I47" i="12"/>
  <c r="H47" i="12"/>
  <c r="G47" i="12"/>
  <c r="F47" i="12"/>
  <c r="E47" i="12"/>
  <c r="I46" i="12"/>
  <c r="H46" i="12"/>
  <c r="G46" i="12"/>
  <c r="F46" i="12"/>
  <c r="E46" i="12"/>
  <c r="I45" i="12"/>
  <c r="H45" i="12"/>
  <c r="G45" i="12"/>
  <c r="F45" i="12"/>
  <c r="E45" i="12"/>
  <c r="I44" i="12"/>
  <c r="H44" i="12"/>
  <c r="G44" i="12"/>
  <c r="F44" i="12"/>
  <c r="E44" i="12"/>
  <c r="I42" i="12"/>
  <c r="H42" i="12"/>
  <c r="G42" i="12"/>
  <c r="F42" i="12"/>
  <c r="E42" i="12"/>
  <c r="P34" i="12"/>
  <c r="O34" i="12"/>
  <c r="N34" i="12"/>
  <c r="M34" i="12"/>
  <c r="L34" i="12"/>
  <c r="K34" i="12"/>
  <c r="I34" i="12"/>
  <c r="H34" i="12"/>
  <c r="G34" i="12"/>
  <c r="F34" i="12"/>
  <c r="E34" i="12"/>
  <c r="P31" i="12"/>
  <c r="O31" i="12"/>
  <c r="N31" i="12"/>
  <c r="M31" i="12"/>
  <c r="L31" i="12"/>
  <c r="K31" i="12"/>
  <c r="I31" i="12"/>
  <c r="H31" i="12"/>
  <c r="G31" i="12"/>
  <c r="F31" i="12"/>
  <c r="E31" i="12"/>
  <c r="P30" i="12"/>
  <c r="O30" i="12"/>
  <c r="N30" i="12"/>
  <c r="M30" i="12"/>
  <c r="L30" i="12"/>
  <c r="K30" i="12"/>
  <c r="I30" i="12"/>
  <c r="H30" i="12"/>
  <c r="G30" i="12"/>
  <c r="F30" i="12"/>
  <c r="E30" i="12"/>
  <c r="O29" i="12"/>
  <c r="N29" i="12"/>
  <c r="M29" i="12"/>
  <c r="L29" i="12"/>
  <c r="K29" i="12"/>
  <c r="I29" i="12"/>
  <c r="H29" i="12"/>
  <c r="G29" i="12"/>
  <c r="F29" i="12"/>
  <c r="E29" i="12"/>
  <c r="O28" i="12"/>
  <c r="N28" i="12"/>
  <c r="M28" i="12"/>
  <c r="L28" i="12"/>
  <c r="K28" i="12"/>
  <c r="I28" i="12"/>
  <c r="H28" i="12"/>
  <c r="G28" i="12"/>
  <c r="F28" i="12"/>
  <c r="E28" i="12"/>
  <c r="P27" i="12"/>
  <c r="O27" i="12"/>
  <c r="N27" i="12"/>
  <c r="M27" i="12"/>
  <c r="L27" i="12"/>
  <c r="K27" i="12"/>
  <c r="I27" i="12"/>
  <c r="H27" i="12"/>
  <c r="G27" i="12"/>
  <c r="F27" i="12"/>
  <c r="E27" i="12"/>
  <c r="P26" i="12"/>
  <c r="O26" i="12"/>
  <c r="N26" i="12"/>
  <c r="M26" i="12"/>
  <c r="L26" i="12"/>
  <c r="P23" i="12"/>
  <c r="P15" i="12"/>
  <c r="O15" i="12"/>
  <c r="N15" i="12"/>
  <c r="M15" i="12"/>
  <c r="L15" i="12"/>
  <c r="K15" i="12"/>
  <c r="I15" i="12"/>
  <c r="H15" i="12"/>
  <c r="G15" i="12"/>
  <c r="F15" i="12"/>
  <c r="E15" i="12"/>
  <c r="G85" i="11"/>
  <c r="F85" i="11"/>
  <c r="G21" i="11"/>
  <c r="G20" i="11"/>
  <c r="G18" i="11"/>
  <c r="I53" i="9"/>
  <c r="H53" i="9"/>
  <c r="G53" i="9"/>
  <c r="F53" i="9"/>
  <c r="E53" i="9"/>
  <c r="I52" i="9"/>
  <c r="H52" i="9"/>
  <c r="G52" i="9"/>
  <c r="F52" i="9"/>
  <c r="E52" i="9"/>
  <c r="I51" i="9"/>
  <c r="H51" i="9"/>
  <c r="G51" i="9"/>
  <c r="F51" i="9"/>
  <c r="E51" i="9"/>
  <c r="I49" i="9"/>
  <c r="H49" i="9"/>
  <c r="G49" i="9"/>
  <c r="F49" i="9"/>
  <c r="E49" i="9"/>
  <c r="I47" i="9"/>
  <c r="H47" i="9"/>
  <c r="G47" i="9"/>
  <c r="F52" i="21" s="1"/>
  <c r="F47" i="9"/>
  <c r="E47" i="9"/>
  <c r="I46" i="9"/>
  <c r="H46" i="9"/>
  <c r="G46" i="9"/>
  <c r="F51" i="21" s="1"/>
  <c r="F46" i="9"/>
  <c r="E46" i="9"/>
  <c r="I45" i="9"/>
  <c r="H45" i="9"/>
  <c r="G45" i="9"/>
  <c r="F45" i="9"/>
  <c r="E45" i="9"/>
  <c r="I43" i="9"/>
  <c r="H43" i="9"/>
  <c r="G43" i="9"/>
  <c r="F43" i="9"/>
  <c r="E43" i="9"/>
  <c r="J8" i="9"/>
  <c r="I8" i="9"/>
  <c r="H8" i="9"/>
  <c r="G8" i="9"/>
  <c r="F8" i="9"/>
  <c r="E8" i="9"/>
  <c r="F24" i="7"/>
  <c r="F22" i="7"/>
  <c r="F20" i="7"/>
  <c r="F7" i="7"/>
  <c r="E81" i="5"/>
  <c r="E79" i="5"/>
  <c r="E75" i="5"/>
  <c r="E41" i="21" s="1"/>
  <c r="O26" i="5"/>
  <c r="N26" i="5"/>
  <c r="M26" i="5"/>
  <c r="L26" i="5"/>
  <c r="K26" i="5"/>
  <c r="J26" i="5"/>
  <c r="I26" i="5"/>
  <c r="H26" i="5"/>
  <c r="G26" i="5"/>
  <c r="F26" i="5"/>
  <c r="E22" i="5"/>
  <c r="E19" i="5"/>
  <c r="E18" i="5"/>
  <c r="E8" i="5"/>
  <c r="E7" i="5"/>
  <c r="G72" i="18" l="1"/>
  <c r="F72" i="18"/>
  <c r="H15" i="23"/>
  <c r="H16" i="23"/>
  <c r="G15" i="23"/>
  <c r="G16" i="23"/>
  <c r="E15" i="23"/>
  <c r="E16" i="23"/>
  <c r="K115" i="18"/>
  <c r="K81" i="18"/>
  <c r="F20" i="19"/>
  <c r="G13" i="21"/>
  <c r="K217" i="18"/>
  <c r="K219" i="18" s="1"/>
  <c r="G20" i="19"/>
  <c r="H20" i="19" s="1"/>
  <c r="E10" i="19"/>
  <c r="E15" i="19" s="1"/>
  <c r="G19" i="19"/>
  <c r="F11" i="19"/>
  <c r="F13" i="19"/>
  <c r="F14" i="19"/>
  <c r="F18" i="19"/>
  <c r="F12" i="19"/>
  <c r="F19" i="19"/>
  <c r="F504" i="10"/>
  <c r="G504" i="10"/>
  <c r="I505" i="10"/>
  <c r="J505" i="10"/>
  <c r="J9" i="21"/>
  <c r="H11" i="19" s="1"/>
  <c r="I9" i="21"/>
  <c r="H13" i="19" s="1"/>
  <c r="H9" i="21"/>
  <c r="H14" i="19" s="1"/>
  <c r="G9" i="21"/>
  <c r="H18" i="19" s="1"/>
  <c r="F9" i="21"/>
  <c r="H12" i="19" s="1"/>
  <c r="E103" i="15"/>
  <c r="F65" i="16"/>
  <c r="F42" i="16"/>
  <c r="E9" i="21"/>
  <c r="H19" i="19" s="1"/>
  <c r="H505" i="10"/>
  <c r="H504" i="10"/>
  <c r="J69" i="21"/>
  <c r="I69" i="21"/>
  <c r="H69" i="21"/>
  <c r="G69" i="21"/>
  <c r="F69" i="21"/>
  <c r="E69" i="21"/>
  <c r="E39" i="21"/>
  <c r="I40" i="6"/>
  <c r="K236" i="18"/>
  <c r="J43" i="12"/>
  <c r="K146" i="18"/>
  <c r="K140" i="18"/>
  <c r="K142" i="18"/>
  <c r="E85" i="9"/>
  <c r="E88" i="9"/>
  <c r="E87" i="9"/>
  <c r="E84" i="9"/>
  <c r="E73" i="9"/>
  <c r="E77" i="9"/>
  <c r="E72" i="9"/>
  <c r="I38" i="6"/>
  <c r="I51" i="6"/>
  <c r="F72" i="12"/>
  <c r="E72" i="12"/>
  <c r="I43" i="12"/>
  <c r="H43" i="12"/>
  <c r="G43" i="12"/>
  <c r="F43" i="12"/>
  <c r="E43" i="12"/>
  <c r="K161" i="18"/>
  <c r="K160" i="18"/>
  <c r="J166" i="18"/>
  <c r="I166" i="18"/>
  <c r="H166" i="18"/>
  <c r="G166" i="18"/>
  <c r="F166" i="18"/>
  <c r="K48" i="18"/>
  <c r="K39" i="18"/>
  <c r="K40" i="18"/>
  <c r="K38" i="18"/>
  <c r="K41" i="18"/>
  <c r="K42" i="18"/>
  <c r="K43" i="18"/>
  <c r="K44" i="18"/>
  <c r="K46" i="18"/>
  <c r="K47" i="18"/>
  <c r="K49" i="18"/>
  <c r="K45" i="18"/>
  <c r="K50" i="18"/>
  <c r="K51" i="18"/>
  <c r="K6" i="18"/>
  <c r="F67" i="11"/>
  <c r="F92" i="15"/>
  <c r="N8" i="8"/>
  <c r="N11" i="8" s="1"/>
  <c r="E75" i="9"/>
  <c r="K220" i="18"/>
  <c r="F53" i="11"/>
  <c r="F110" i="16"/>
  <c r="K278" i="10"/>
  <c r="J278" i="10"/>
  <c r="I278" i="10"/>
  <c r="H278" i="10"/>
  <c r="G278" i="10"/>
  <c r="F278" i="10"/>
  <c r="G66" i="11"/>
  <c r="F59" i="11"/>
  <c r="F104" i="11"/>
  <c r="H272" i="10"/>
  <c r="H271" i="10"/>
  <c r="H270" i="10"/>
  <c r="H269" i="10"/>
  <c r="H268" i="10"/>
  <c r="H267" i="10"/>
  <c r="H266" i="10"/>
  <c r="H265" i="10"/>
  <c r="F65" i="11"/>
  <c r="F99" i="11"/>
  <c r="G102" i="11"/>
  <c r="I50" i="9"/>
  <c r="H50" i="9"/>
  <c r="G50" i="9"/>
  <c r="F50" i="9"/>
  <c r="E50" i="9"/>
  <c r="I44" i="9"/>
  <c r="H44" i="9"/>
  <c r="G44" i="9"/>
  <c r="F44" i="9"/>
  <c r="E44" i="9"/>
  <c r="G101" i="11"/>
  <c r="G72" i="11"/>
  <c r="I57" i="6"/>
  <c r="I39" i="6"/>
  <c r="I124" i="6"/>
  <c r="I36" i="6"/>
  <c r="I123" i="6"/>
  <c r="L460" i="10"/>
  <c r="L459" i="10"/>
  <c r="F5" i="4"/>
  <c r="F5" i="19" s="1"/>
  <c r="I85" i="16"/>
  <c r="G68" i="11"/>
  <c r="F83" i="16"/>
  <c r="F32" i="16"/>
  <c r="F22" i="16"/>
  <c r="H264" i="10"/>
  <c r="G32" i="16"/>
  <c r="P309" i="10"/>
  <c r="P310" i="10"/>
  <c r="P308" i="10"/>
  <c r="P305" i="10"/>
  <c r="P307" i="10"/>
  <c r="P303" i="10"/>
  <c r="P299" i="10"/>
  <c r="P298" i="10"/>
  <c r="P302" i="10"/>
  <c r="P300" i="10"/>
  <c r="P301" i="10"/>
  <c r="P294" i="10"/>
  <c r="P293" i="10"/>
  <c r="P289" i="10"/>
  <c r="P292" i="10"/>
  <c r="P291" i="10"/>
  <c r="P287" i="10"/>
  <c r="P286" i="10"/>
  <c r="P285" i="10"/>
  <c r="P284" i="10"/>
  <c r="P283" i="10"/>
  <c r="P282" i="10"/>
  <c r="F64" i="11"/>
  <c r="H60" i="11"/>
  <c r="F32" i="8"/>
  <c r="G74" i="11"/>
  <c r="P80" i="15"/>
  <c r="O80" i="15"/>
  <c r="N80" i="15"/>
  <c r="M80" i="15"/>
  <c r="L80" i="15"/>
  <c r="K80" i="15"/>
  <c r="J80" i="15"/>
  <c r="I80" i="15"/>
  <c r="H80" i="15"/>
  <c r="G80" i="15"/>
  <c r="F80" i="15"/>
  <c r="O33" i="15"/>
  <c r="N33" i="15"/>
  <c r="M33" i="15"/>
  <c r="L33" i="15"/>
  <c r="K33" i="15"/>
  <c r="J33" i="15"/>
  <c r="I33" i="15"/>
  <c r="H33" i="15"/>
  <c r="G33" i="15"/>
  <c r="F33" i="15"/>
  <c r="P33" i="15"/>
  <c r="N32" i="15"/>
  <c r="M32" i="15"/>
  <c r="L32" i="15"/>
  <c r="K32" i="15"/>
  <c r="J32" i="15"/>
  <c r="I32" i="15"/>
  <c r="H32" i="15"/>
  <c r="G32" i="15"/>
  <c r="F32" i="15"/>
  <c r="P32" i="15"/>
  <c r="O32" i="15"/>
  <c r="F69" i="8"/>
  <c r="F25" i="11"/>
  <c r="J30" i="8"/>
  <c r="E89" i="9"/>
  <c r="J17" i="8"/>
  <c r="H72" i="12"/>
  <c r="G24" i="11"/>
  <c r="F24" i="11"/>
  <c r="Q32" i="12"/>
  <c r="Q21" i="12"/>
  <c r="G14" i="11"/>
  <c r="F14" i="11"/>
  <c r="Q29" i="12"/>
  <c r="Q33" i="12"/>
  <c r="Q28" i="12"/>
  <c r="J32" i="12"/>
  <c r="J33" i="12"/>
  <c r="J21" i="12"/>
  <c r="J32" i="8"/>
  <c r="J15" i="8"/>
  <c r="J33" i="8"/>
  <c r="G23" i="11"/>
  <c r="F23" i="11"/>
  <c r="G22" i="11"/>
  <c r="F22" i="11"/>
  <c r="I116" i="6"/>
  <c r="H20" i="8"/>
  <c r="H21" i="8"/>
  <c r="H18" i="8"/>
  <c r="H19" i="8"/>
  <c r="M18" i="8"/>
  <c r="F29" i="8"/>
  <c r="E9" i="5"/>
  <c r="E10" i="5" s="1"/>
  <c r="M12" i="8"/>
  <c r="M11" i="8"/>
  <c r="L9" i="8"/>
  <c r="M10" i="8"/>
  <c r="L12" i="8"/>
  <c r="L11" i="8"/>
  <c r="J15" i="9"/>
  <c r="I15" i="9"/>
  <c r="H15" i="9"/>
  <c r="G15" i="9"/>
  <c r="F15" i="9"/>
  <c r="E15" i="9"/>
  <c r="I81" i="6"/>
  <c r="I80" i="6"/>
  <c r="I68" i="6"/>
  <c r="I63" i="6"/>
  <c r="E17" i="5"/>
  <c r="I105" i="6"/>
  <c r="I102" i="6"/>
  <c r="I99" i="6"/>
  <c r="I32" i="6"/>
  <c r="I107" i="6"/>
  <c r="I25" i="6"/>
  <c r="I43" i="6"/>
  <c r="I20" i="6"/>
  <c r="I15" i="6"/>
  <c r="I52" i="6"/>
  <c r="I42" i="6"/>
  <c r="I17" i="6"/>
  <c r="F70" i="8"/>
  <c r="H24" i="8"/>
  <c r="H26" i="8"/>
  <c r="H25" i="8"/>
  <c r="G26" i="8"/>
  <c r="H23" i="8"/>
  <c r="G25" i="8"/>
  <c r="G24" i="8"/>
  <c r="H22" i="8"/>
  <c r="F20" i="8"/>
  <c r="J31" i="8"/>
  <c r="J29" i="8"/>
  <c r="J28" i="8"/>
  <c r="J27" i="8"/>
  <c r="F47" i="8"/>
  <c r="J16" i="8"/>
  <c r="Q26" i="12"/>
  <c r="P29" i="12"/>
  <c r="P28" i="12"/>
  <c r="G91" i="11"/>
  <c r="E14" i="5"/>
  <c r="G87" i="11"/>
  <c r="G72" i="12"/>
  <c r="P21" i="12"/>
  <c r="P32" i="12"/>
  <c r="P33" i="12"/>
  <c r="O21" i="12"/>
  <c r="O32" i="12"/>
  <c r="O33" i="12"/>
  <c r="N21" i="12"/>
  <c r="N32" i="12"/>
  <c r="N33" i="12"/>
  <c r="M21" i="12"/>
  <c r="M32" i="12"/>
  <c r="M33" i="12"/>
  <c r="L33" i="12"/>
  <c r="L21" i="12"/>
  <c r="L32" i="12"/>
  <c r="K21" i="12"/>
  <c r="K32" i="12"/>
  <c r="K33" i="12"/>
  <c r="I33" i="12"/>
  <c r="I32" i="12"/>
  <c r="I21" i="12"/>
  <c r="H33" i="12"/>
  <c r="H21" i="12"/>
  <c r="H32" i="12"/>
  <c r="G33" i="12"/>
  <c r="G21" i="12"/>
  <c r="G32" i="12"/>
  <c r="F33" i="12"/>
  <c r="F21" i="12"/>
  <c r="F32" i="12"/>
  <c r="E21" i="12"/>
  <c r="E33" i="12"/>
  <c r="E32" i="12"/>
  <c r="F23" i="4"/>
  <c r="F22" i="4"/>
  <c r="F21" i="4"/>
  <c r="F20" i="4"/>
  <c r="F10" i="4"/>
  <c r="F16" i="4"/>
  <c r="K124" i="18" l="1"/>
  <c r="K117" i="18"/>
  <c r="G12" i="7"/>
  <c r="F77" i="16"/>
  <c r="H83" i="16"/>
  <c r="G77" i="16"/>
  <c r="F44" i="16"/>
  <c r="F54" i="16"/>
  <c r="G83" i="16"/>
  <c r="G54" i="16"/>
  <c r="N9" i="8"/>
  <c r="G63" i="4"/>
  <c r="F67" i="16"/>
  <c r="G17" i="11"/>
  <c r="F17" i="11"/>
  <c r="F84" i="16"/>
  <c r="K30" i="8"/>
  <c r="K17" i="8"/>
  <c r="K32" i="8"/>
  <c r="K15" i="8"/>
  <c r="K33" i="8"/>
  <c r="F39" i="8"/>
  <c r="E20" i="5"/>
  <c r="I108" i="6"/>
  <c r="I37" i="6"/>
  <c r="F71" i="8"/>
  <c r="J23" i="8"/>
  <c r="J22" i="8"/>
  <c r="K29" i="8"/>
  <c r="K28" i="8"/>
  <c r="K27" i="8"/>
  <c r="K165" i="18"/>
  <c r="F52" i="11"/>
  <c r="K163" i="18"/>
  <c r="K11" i="18"/>
  <c r="K12" i="18"/>
  <c r="K13" i="18"/>
  <c r="K14" i="18"/>
  <c r="K15" i="18"/>
  <c r="K16" i="18"/>
  <c r="K17" i="18"/>
  <c r="K18" i="18"/>
  <c r="K19" i="18"/>
  <c r="K20" i="18"/>
  <c r="K21" i="18"/>
  <c r="K22" i="18"/>
  <c r="K23" i="18"/>
  <c r="K24" i="18"/>
  <c r="F14" i="4" s="1"/>
  <c r="K25" i="18"/>
  <c r="K238" i="18" s="1"/>
  <c r="K26" i="18"/>
  <c r="K27" i="18"/>
  <c r="K28" i="18"/>
  <c r="K57" i="18"/>
  <c r="F93" i="15" s="1"/>
  <c r="K58" i="18"/>
  <c r="K59" i="18"/>
  <c r="K62" i="18"/>
  <c r="K71" i="18"/>
  <c r="K164" i="18"/>
  <c r="G92" i="15"/>
  <c r="G52" i="11"/>
  <c r="F101" i="11"/>
  <c r="F96" i="11"/>
  <c r="F19" i="8"/>
  <c r="J20" i="8"/>
  <c r="J21" i="8"/>
  <c r="J18" i="8"/>
  <c r="J19" i="8"/>
  <c r="M19" i="8"/>
  <c r="L10" i="8"/>
  <c r="G143" i="4"/>
  <c r="J16" i="9"/>
  <c r="I16" i="9"/>
  <c r="H16" i="9"/>
  <c r="G16" i="9"/>
  <c r="F16" i="9"/>
  <c r="E16" i="9"/>
  <c r="E49" i="5"/>
  <c r="E74" i="9"/>
  <c r="F66" i="11"/>
  <c r="F74" i="11"/>
  <c r="F68" i="11"/>
  <c r="F102" i="11"/>
  <c r="I125" i="6"/>
  <c r="H142" i="4"/>
  <c r="H13" i="7"/>
  <c r="G142" i="4"/>
  <c r="G13" i="7"/>
  <c r="F72" i="11"/>
  <c r="F34" i="15"/>
  <c r="G34" i="15"/>
  <c r="H34" i="15"/>
  <c r="I34" i="15"/>
  <c r="J34" i="15"/>
  <c r="K34" i="15"/>
  <c r="L34" i="15"/>
  <c r="M34" i="15"/>
  <c r="N34" i="15"/>
  <c r="O34" i="15"/>
  <c r="P34" i="15"/>
  <c r="E86" i="9"/>
  <c r="G15" i="11"/>
  <c r="F15" i="11"/>
  <c r="F25" i="8"/>
  <c r="F24" i="8"/>
  <c r="E37" i="19"/>
  <c r="K97" i="10"/>
  <c r="F25" i="4"/>
  <c r="J25" i="8"/>
  <c r="G35" i="11"/>
  <c r="F35" i="11"/>
  <c r="G32" i="11"/>
  <c r="F32" i="11"/>
  <c r="G33" i="11"/>
  <c r="F33" i="11"/>
  <c r="G26" i="11"/>
  <c r="F26" i="11"/>
  <c r="H10" i="7"/>
  <c r="H11" i="7"/>
  <c r="H127" i="4"/>
  <c r="G10" i="7"/>
  <c r="G11" i="7"/>
  <c r="G127" i="4"/>
  <c r="L18" i="8"/>
  <c r="F21" i="8"/>
  <c r="L20" i="8"/>
  <c r="M20" i="8"/>
  <c r="K31" i="8"/>
  <c r="J26" i="8"/>
  <c r="J24" i="8"/>
  <c r="K16" i="8"/>
  <c r="F46" i="8"/>
  <c r="H71" i="4"/>
  <c r="H53" i="4"/>
  <c r="H128" i="4"/>
  <c r="G8" i="7"/>
  <c r="G71" i="4"/>
  <c r="G15" i="7"/>
  <c r="G82" i="4"/>
  <c r="G53" i="4"/>
  <c r="G128" i="4"/>
  <c r="I21" i="6"/>
  <c r="I33" i="6"/>
  <c r="I54" i="6"/>
  <c r="I29" i="6"/>
  <c r="I28" i="6"/>
  <c r="I95" i="6"/>
  <c r="H100" i="10"/>
  <c r="E14" i="9"/>
  <c r="F14" i="9"/>
  <c r="G14" i="9"/>
  <c r="H14" i="9"/>
  <c r="I14" i="9"/>
  <c r="J14" i="9"/>
  <c r="F26" i="4"/>
  <c r="F89" i="9"/>
  <c r="F13" i="4"/>
  <c r="F9" i="4"/>
  <c r="G84" i="16" l="1"/>
  <c r="I83" i="16"/>
  <c r="H8" i="7"/>
  <c r="H12" i="7"/>
  <c r="N10" i="8"/>
  <c r="O8" i="8"/>
  <c r="N18" i="8"/>
  <c r="N20" i="8"/>
  <c r="N12" i="8"/>
  <c r="N17" i="8"/>
  <c r="M17" i="8"/>
  <c r="K22" i="8"/>
  <c r="F22" i="8"/>
  <c r="H84" i="16"/>
  <c r="M30" i="8"/>
  <c r="L30" i="8"/>
  <c r="N30" i="8"/>
  <c r="L17" i="8"/>
  <c r="L15" i="8"/>
  <c r="M15" i="8"/>
  <c r="N15" i="8"/>
  <c r="F23" i="8"/>
  <c r="K23" i="8"/>
  <c r="N29" i="8"/>
  <c r="M29" i="8"/>
  <c r="L29" i="8"/>
  <c r="M28" i="8"/>
  <c r="N28" i="8"/>
  <c r="L28" i="8"/>
  <c r="M27" i="8"/>
  <c r="N27" i="8"/>
  <c r="L27" i="8"/>
  <c r="K166" i="18"/>
  <c r="G145" i="4"/>
  <c r="G144" i="4"/>
  <c r="G146" i="4"/>
  <c r="K26" i="8"/>
  <c r="K72" i="18"/>
  <c r="H92" i="15"/>
  <c r="H164" i="4"/>
  <c r="F29" i="4"/>
  <c r="J17" i="9"/>
  <c r="I17" i="9"/>
  <c r="H17" i="9"/>
  <c r="G17" i="9"/>
  <c r="F17" i="9"/>
  <c r="E17" i="9"/>
  <c r="E76" i="9"/>
  <c r="H14" i="7"/>
  <c r="G14" i="7"/>
  <c r="F63" i="15"/>
  <c r="G63" i="15"/>
  <c r="H63" i="15"/>
  <c r="I63" i="15"/>
  <c r="J63" i="15"/>
  <c r="K63" i="15"/>
  <c r="L63" i="15"/>
  <c r="M63" i="15"/>
  <c r="N63" i="15"/>
  <c r="O63" i="15"/>
  <c r="P63" i="15"/>
  <c r="K186" i="18"/>
  <c r="L97" i="10"/>
  <c r="L19" i="8"/>
  <c r="L21" i="8"/>
  <c r="M21" i="8"/>
  <c r="G9" i="7"/>
  <c r="H101" i="10"/>
  <c r="G35" i="4"/>
  <c r="F15" i="4"/>
  <c r="Q177" i="4"/>
  <c r="F11" i="15"/>
  <c r="F8" i="15"/>
  <c r="F7" i="15"/>
  <c r="F20" i="15"/>
  <c r="F19" i="15"/>
  <c r="O177" i="4"/>
  <c r="P177" i="4"/>
  <c r="M177" i="4"/>
  <c r="N177" i="4"/>
  <c r="K177" i="4"/>
  <c r="L177" i="4"/>
  <c r="I177" i="4"/>
  <c r="J177" i="4"/>
  <c r="F18" i="4"/>
  <c r="H177" i="4"/>
  <c r="H62" i="11"/>
  <c r="F11" i="4"/>
  <c r="F9" i="15" s="1"/>
  <c r="G153" i="4"/>
  <c r="H153" i="4"/>
  <c r="F17" i="4"/>
  <c r="H131" i="10"/>
  <c r="F17" i="15"/>
  <c r="F16" i="15"/>
  <c r="F13" i="15"/>
  <c r="F6" i="15"/>
  <c r="F14" i="15"/>
  <c r="E134" i="10"/>
  <c r="F32" i="4"/>
  <c r="F12" i="4"/>
  <c r="N99" i="5"/>
  <c r="O99" i="5"/>
  <c r="L99" i="5"/>
  <c r="M99" i="5"/>
  <c r="E35" i="5"/>
  <c r="K99" i="5"/>
  <c r="F27" i="11"/>
  <c r="G27" i="11"/>
  <c r="K25" i="8"/>
  <c r="N25" i="8"/>
  <c r="M25" i="8"/>
  <c r="L25" i="8"/>
  <c r="L16" i="8"/>
  <c r="M16" i="8"/>
  <c r="N16" i="8"/>
  <c r="G30" i="11"/>
  <c r="F30" i="11"/>
  <c r="G31" i="11"/>
  <c r="F31" i="11"/>
  <c r="G34" i="11"/>
  <c r="F34" i="11"/>
  <c r="M44" i="8"/>
  <c r="K24" i="8"/>
  <c r="N24" i="8"/>
  <c r="M24" i="8"/>
  <c r="L24" i="8"/>
  <c r="I93" i="6"/>
  <c r="I46" i="6"/>
  <c r="I100" i="6"/>
  <c r="I103" i="6"/>
  <c r="I106" i="6"/>
  <c r="I109" i="6"/>
  <c r="L44" i="8"/>
  <c r="F24" i="4"/>
  <c r="F88" i="9"/>
  <c r="F84" i="11"/>
  <c r="G84" i="11"/>
  <c r="H108" i="10"/>
  <c r="H99" i="10"/>
  <c r="K105" i="10"/>
  <c r="J97" i="10"/>
  <c r="E68" i="10"/>
  <c r="E70" i="10"/>
  <c r="H69" i="10"/>
  <c r="E79" i="10"/>
  <c r="H89" i="10"/>
  <c r="I84" i="16" l="1"/>
  <c r="H9" i="7"/>
  <c r="N44" i="8"/>
  <c r="H143" i="4"/>
  <c r="N19" i="8"/>
  <c r="N21" i="8"/>
  <c r="F28" i="5"/>
  <c r="O11" i="8"/>
  <c r="O9" i="8"/>
  <c r="L45" i="8"/>
  <c r="L22" i="8"/>
  <c r="M22" i="8"/>
  <c r="N22" i="8"/>
  <c r="G20" i="7"/>
  <c r="G24" i="7"/>
  <c r="G22" i="7"/>
  <c r="F26" i="8"/>
  <c r="F40" i="8" s="1"/>
  <c r="L23" i="8"/>
  <c r="M23" i="8"/>
  <c r="N23" i="8"/>
  <c r="N39" i="8"/>
  <c r="M39" i="8"/>
  <c r="L39" i="8"/>
  <c r="G148" i="4"/>
  <c r="J18" i="9"/>
  <c r="I18" i="9"/>
  <c r="H18" i="9"/>
  <c r="G18" i="9"/>
  <c r="F18" i="9"/>
  <c r="E18" i="9"/>
  <c r="E78" i="9"/>
  <c r="M97" i="10"/>
  <c r="L105" i="10"/>
  <c r="M45" i="8"/>
  <c r="H109" i="10"/>
  <c r="H102" i="10"/>
  <c r="I164" i="4"/>
  <c r="E326" i="10"/>
  <c r="G56" i="4"/>
  <c r="I47" i="6"/>
  <c r="N83" i="15"/>
  <c r="O83" i="15"/>
  <c r="L83" i="15"/>
  <c r="G86" i="15"/>
  <c r="H86" i="15"/>
  <c r="M83" i="15"/>
  <c r="J83" i="15"/>
  <c r="K83" i="15"/>
  <c r="H83" i="15"/>
  <c r="I83" i="15"/>
  <c r="F83" i="15"/>
  <c r="G83" i="15"/>
  <c r="I82" i="15"/>
  <c r="N82" i="15"/>
  <c r="O82" i="15"/>
  <c r="L82" i="15"/>
  <c r="M82" i="15"/>
  <c r="J82" i="15"/>
  <c r="K82" i="15"/>
  <c r="H82" i="15"/>
  <c r="F82" i="15"/>
  <c r="G82" i="15"/>
  <c r="F19" i="4"/>
  <c r="P83" i="15"/>
  <c r="P82" i="15"/>
  <c r="G147" i="4"/>
  <c r="O109" i="5"/>
  <c r="E125" i="10"/>
  <c r="H122" i="10"/>
  <c r="F18" i="15"/>
  <c r="F10" i="15"/>
  <c r="M109" i="5"/>
  <c r="N109" i="5"/>
  <c r="K109" i="5"/>
  <c r="L109" i="5"/>
  <c r="I109" i="5"/>
  <c r="J109" i="5"/>
  <c r="G109" i="5"/>
  <c r="H109" i="5"/>
  <c r="F109" i="5"/>
  <c r="H147" i="4"/>
  <c r="H54" i="11"/>
  <c r="E36" i="5"/>
  <c r="H159" i="4"/>
  <c r="I159" i="4"/>
  <c r="G152" i="4"/>
  <c r="H152" i="4"/>
  <c r="M32" i="8"/>
  <c r="L32" i="8"/>
  <c r="F38" i="8"/>
  <c r="N32" i="8"/>
  <c r="H15" i="7"/>
  <c r="E26" i="10"/>
  <c r="H107" i="10"/>
  <c r="H98" i="10"/>
  <c r="I97" i="10"/>
  <c r="J105" i="10"/>
  <c r="E67" i="10"/>
  <c r="H68" i="10"/>
  <c r="E78" i="10"/>
  <c r="H88" i="10"/>
  <c r="H70" i="10"/>
  <c r="E80" i="10"/>
  <c r="H90" i="10"/>
  <c r="E71" i="10"/>
  <c r="N45" i="8" l="1"/>
  <c r="H20" i="7"/>
  <c r="H21" i="7" s="1"/>
  <c r="H24" i="7"/>
  <c r="H25" i="7" s="1"/>
  <c r="H22" i="7"/>
  <c r="H23" i="7" s="1"/>
  <c r="H144" i="4"/>
  <c r="H146" i="4"/>
  <c r="H56" i="4"/>
  <c r="H145" i="4"/>
  <c r="L26" i="8"/>
  <c r="L40" i="8" s="1"/>
  <c r="M26" i="8"/>
  <c r="N26" i="8"/>
  <c r="I152" i="4"/>
  <c r="I11" i="7"/>
  <c r="I53" i="4"/>
  <c r="I142" i="4"/>
  <c r="I153" i="4"/>
  <c r="I13" i="7"/>
  <c r="I147" i="4"/>
  <c r="I127" i="4"/>
  <c r="I10" i="7"/>
  <c r="I8" i="7"/>
  <c r="I71" i="4"/>
  <c r="I128" i="4"/>
  <c r="O16" i="8"/>
  <c r="O27" i="8"/>
  <c r="O22" i="8"/>
  <c r="O29" i="8"/>
  <c r="I12" i="7"/>
  <c r="O25" i="8"/>
  <c r="O26" i="8"/>
  <c r="P8" i="8"/>
  <c r="O20" i="8"/>
  <c r="O15" i="8"/>
  <c r="O18" i="8"/>
  <c r="O28" i="8"/>
  <c r="O30" i="8"/>
  <c r="O12" i="8"/>
  <c r="O10" i="8"/>
  <c r="O23" i="8"/>
  <c r="O24" i="8"/>
  <c r="O17" i="8"/>
  <c r="O32" i="8"/>
  <c r="G23" i="7"/>
  <c r="G21" i="7"/>
  <c r="G25" i="7"/>
  <c r="M105" i="10"/>
  <c r="H110" i="10"/>
  <c r="F39" i="11"/>
  <c r="G39" i="11"/>
  <c r="F38" i="11"/>
  <c r="G38" i="11"/>
  <c r="F37" i="11"/>
  <c r="G37" i="11"/>
  <c r="F36" i="11"/>
  <c r="G36" i="11"/>
  <c r="G55" i="4"/>
  <c r="G61" i="4"/>
  <c r="I77" i="6"/>
  <c r="I48" i="6"/>
  <c r="I53" i="6" s="1"/>
  <c r="E327" i="10"/>
  <c r="M38" i="8"/>
  <c r="N38" i="8"/>
  <c r="H106" i="10"/>
  <c r="I105" i="10"/>
  <c r="E72" i="10"/>
  <c r="H165" i="4"/>
  <c r="I165" i="4"/>
  <c r="H60" i="4"/>
  <c r="G60" i="4"/>
  <c r="P81" i="15"/>
  <c r="N81" i="15"/>
  <c r="O81" i="15"/>
  <c r="L81" i="15"/>
  <c r="M81" i="15"/>
  <c r="K81" i="15"/>
  <c r="H81" i="15"/>
  <c r="I81" i="15"/>
  <c r="J81" i="15"/>
  <c r="F81" i="15"/>
  <c r="G81" i="15"/>
  <c r="G52" i="4"/>
  <c r="H12" i="15"/>
  <c r="G62" i="11"/>
  <c r="P30" i="15"/>
  <c r="O30" i="15"/>
  <c r="M30" i="15"/>
  <c r="L30" i="15"/>
  <c r="K30" i="15"/>
  <c r="J30" i="15"/>
  <c r="I30" i="15"/>
  <c r="H30" i="15"/>
  <c r="G30" i="15"/>
  <c r="F30" i="15"/>
  <c r="N30" i="15"/>
  <c r="F58" i="11"/>
  <c r="H160" i="4"/>
  <c r="H82" i="4"/>
  <c r="G36" i="4"/>
  <c r="G72" i="4"/>
  <c r="G73" i="4"/>
  <c r="G112" i="4"/>
  <c r="G111" i="4"/>
  <c r="G54" i="4"/>
  <c r="H37" i="4"/>
  <c r="F135" i="4"/>
  <c r="F134" i="4"/>
  <c r="G48" i="4"/>
  <c r="G46" i="4"/>
  <c r="L38" i="8"/>
  <c r="H87" i="10"/>
  <c r="E77" i="10"/>
  <c r="H67" i="10"/>
  <c r="E66" i="10"/>
  <c r="H91" i="10"/>
  <c r="E81" i="10"/>
  <c r="H71" i="10"/>
  <c r="H61" i="4" l="1"/>
  <c r="H55" i="4"/>
  <c r="H148" i="4"/>
  <c r="I14" i="7"/>
  <c r="I15" i="7" s="1"/>
  <c r="I9" i="7"/>
  <c r="I60" i="4" s="1"/>
  <c r="J159" i="4"/>
  <c r="P9" i="8"/>
  <c r="P11" i="8"/>
  <c r="O21" i="8"/>
  <c r="I143" i="4"/>
  <c r="M40" i="8"/>
  <c r="N40" i="8"/>
  <c r="O44" i="8"/>
  <c r="O19" i="8"/>
  <c r="O38" i="8"/>
  <c r="O39" i="8"/>
  <c r="G28" i="5"/>
  <c r="O40" i="8"/>
  <c r="E46" i="10"/>
  <c r="I84" i="6"/>
  <c r="I83" i="6"/>
  <c r="I82" i="6"/>
  <c r="E57" i="5"/>
  <c r="I94" i="6"/>
  <c r="I50" i="6"/>
  <c r="I10" i="21"/>
  <c r="H10" i="21"/>
  <c r="G10" i="21"/>
  <c r="F10" i="21"/>
  <c r="F10" i="16" s="1"/>
  <c r="E10" i="21"/>
  <c r="H92" i="10"/>
  <c r="E82" i="10"/>
  <c r="H72" i="10"/>
  <c r="F43" i="11"/>
  <c r="G154" i="4"/>
  <c r="F136" i="4"/>
  <c r="G47" i="4"/>
  <c r="E336" i="10"/>
  <c r="H166" i="4"/>
  <c r="I166" i="4"/>
  <c r="E337" i="10"/>
  <c r="G51" i="4"/>
  <c r="H24" i="15"/>
  <c r="F29" i="5"/>
  <c r="F62" i="11"/>
  <c r="F63" i="11"/>
  <c r="E42" i="10"/>
  <c r="I160" i="4"/>
  <c r="I82" i="4"/>
  <c r="E33" i="10"/>
  <c r="G45" i="4"/>
  <c r="G43" i="11"/>
  <c r="H86" i="10"/>
  <c r="E76" i="10"/>
  <c r="H66" i="10"/>
  <c r="I20" i="7" l="1"/>
  <c r="I21" i="7" s="1"/>
  <c r="I22" i="7"/>
  <c r="I23" i="7" s="1"/>
  <c r="I24" i="7"/>
  <c r="I25" i="7" s="1"/>
  <c r="P23" i="8"/>
  <c r="P10" i="8"/>
  <c r="J12" i="7"/>
  <c r="P18" i="8"/>
  <c r="P24" i="8"/>
  <c r="P30" i="8"/>
  <c r="Q8" i="8"/>
  <c r="P27" i="8"/>
  <c r="P29" i="8"/>
  <c r="P32" i="8"/>
  <c r="P16" i="8"/>
  <c r="P28" i="8"/>
  <c r="P17" i="8"/>
  <c r="P12" i="8"/>
  <c r="P20" i="8"/>
  <c r="P26" i="8"/>
  <c r="P15" i="8"/>
  <c r="P22" i="8"/>
  <c r="P25" i="8"/>
  <c r="J152" i="4"/>
  <c r="J71" i="4"/>
  <c r="J147" i="4"/>
  <c r="J13" i="7"/>
  <c r="J153" i="4"/>
  <c r="J128" i="4"/>
  <c r="J53" i="4"/>
  <c r="J8" i="7"/>
  <c r="J127" i="4"/>
  <c r="J11" i="7"/>
  <c r="J10" i="7"/>
  <c r="J142" i="4"/>
  <c r="I146" i="4"/>
  <c r="I144" i="4"/>
  <c r="I145" i="4"/>
  <c r="I88" i="6"/>
  <c r="I87" i="6"/>
  <c r="I85" i="6"/>
  <c r="I56" i="4"/>
  <c r="O45" i="8"/>
  <c r="M106" i="10"/>
  <c r="K110" i="10"/>
  <c r="I79" i="10"/>
  <c r="I78" i="10"/>
  <c r="M107" i="10"/>
  <c r="I107" i="10"/>
  <c r="I82" i="10"/>
  <c r="J110" i="10"/>
  <c r="L78" i="10"/>
  <c r="K108" i="10"/>
  <c r="L107" i="10"/>
  <c r="L106" i="10"/>
  <c r="I106" i="10"/>
  <c r="J82" i="10"/>
  <c r="K77" i="10"/>
  <c r="K76" i="10"/>
  <c r="L80" i="10"/>
  <c r="M76" i="10"/>
  <c r="I76" i="10"/>
  <c r="L79" i="10"/>
  <c r="J79" i="10"/>
  <c r="M78" i="10"/>
  <c r="I77" i="10"/>
  <c r="I108" i="10"/>
  <c r="J107" i="10"/>
  <c r="M82" i="10"/>
  <c r="K82" i="10"/>
  <c r="I117" i="6"/>
  <c r="M77" i="10"/>
  <c r="J76" i="10"/>
  <c r="L77" i="10"/>
  <c r="L76" i="10"/>
  <c r="M79" i="10"/>
  <c r="K79" i="10"/>
  <c r="K78" i="10"/>
  <c r="K107" i="10"/>
  <c r="J106" i="10"/>
  <c r="K106" i="10"/>
  <c r="E61" i="5"/>
  <c r="F75" i="5"/>
  <c r="M109" i="10"/>
  <c r="M81" i="10"/>
  <c r="I80" i="10"/>
  <c r="J77" i="10"/>
  <c r="I109" i="10"/>
  <c r="L81" i="10"/>
  <c r="I81" i="10"/>
  <c r="J78" i="10"/>
  <c r="K109" i="10"/>
  <c r="L110" i="10"/>
  <c r="M80" i="10"/>
  <c r="M110" i="10"/>
  <c r="L108" i="10"/>
  <c r="J81" i="10"/>
  <c r="J80" i="10"/>
  <c r="J109" i="10"/>
  <c r="M108" i="10"/>
  <c r="K81" i="10"/>
  <c r="I110" i="10"/>
  <c r="L109" i="10"/>
  <c r="J108" i="10"/>
  <c r="K80" i="10"/>
  <c r="L82" i="10"/>
  <c r="F99" i="16"/>
  <c r="G99" i="16"/>
  <c r="H99" i="16"/>
  <c r="I99" i="16"/>
  <c r="K10" i="21"/>
  <c r="J10" i="21"/>
  <c r="E35" i="10"/>
  <c r="G50" i="4"/>
  <c r="K100" i="18"/>
  <c r="E346" i="10"/>
  <c r="E347" i="10"/>
  <c r="I24" i="15"/>
  <c r="G29" i="5"/>
  <c r="I148" i="4" l="1"/>
  <c r="J160" i="4"/>
  <c r="J143" i="4"/>
  <c r="P19" i="8"/>
  <c r="P44" i="8"/>
  <c r="P40" i="8"/>
  <c r="Q11" i="8"/>
  <c r="Q9" i="8"/>
  <c r="K159" i="4"/>
  <c r="P38" i="8"/>
  <c r="P39" i="8"/>
  <c r="H28" i="5"/>
  <c r="J82" i="4"/>
  <c r="P21" i="8"/>
  <c r="J14" i="7"/>
  <c r="J15" i="7" s="1"/>
  <c r="J9" i="7"/>
  <c r="J60" i="4" s="1"/>
  <c r="I92" i="6"/>
  <c r="I86" i="6"/>
  <c r="I55" i="4"/>
  <c r="I61" i="4"/>
  <c r="F41" i="21"/>
  <c r="E101" i="15"/>
  <c r="E100" i="15"/>
  <c r="E97" i="15"/>
  <c r="G149" i="4"/>
  <c r="G49" i="4"/>
  <c r="K112" i="18"/>
  <c r="K111" i="18"/>
  <c r="K110" i="18"/>
  <c r="J24" i="15"/>
  <c r="Q25" i="8" l="1"/>
  <c r="Q24" i="8"/>
  <c r="Q28" i="8"/>
  <c r="Q29" i="8"/>
  <c r="Q30" i="8"/>
  <c r="Q39" i="8" s="1"/>
  <c r="Q15" i="8"/>
  <c r="Q26" i="8"/>
  <c r="Q17" i="8"/>
  <c r="Q23" i="8"/>
  <c r="Q16" i="8"/>
  <c r="P45" i="8"/>
  <c r="Q22" i="8"/>
  <c r="Q27" i="8"/>
  <c r="K12" i="7"/>
  <c r="R8" i="8"/>
  <c r="Q10" i="8"/>
  <c r="Q32" i="8"/>
  <c r="J144" i="4"/>
  <c r="J145" i="4"/>
  <c r="J146" i="4"/>
  <c r="J56" i="4"/>
  <c r="K53" i="4"/>
  <c r="K128" i="4"/>
  <c r="H29" i="5"/>
  <c r="J20" i="7"/>
  <c r="J22" i="7"/>
  <c r="J24" i="7"/>
  <c r="I90" i="6"/>
  <c r="I89" i="6"/>
  <c r="K147" i="4"/>
  <c r="K13" i="7"/>
  <c r="K14" i="7" s="1"/>
  <c r="K153" i="4"/>
  <c r="K152" i="4"/>
  <c r="K10" i="7"/>
  <c r="K71" i="4"/>
  <c r="K142" i="4"/>
  <c r="K11" i="7"/>
  <c r="K127" i="4"/>
  <c r="K8" i="7"/>
  <c r="K9" i="7" s="1"/>
  <c r="Q20" i="8"/>
  <c r="Q21" i="8" s="1"/>
  <c r="Q12" i="8"/>
  <c r="Q18" i="8"/>
  <c r="E99" i="15"/>
  <c r="E98" i="15"/>
  <c r="G60" i="11"/>
  <c r="K113" i="18"/>
  <c r="E110" i="15" s="1"/>
  <c r="K126" i="18"/>
  <c r="K123" i="18"/>
  <c r="E107" i="15" s="1"/>
  <c r="K125" i="18"/>
  <c r="E108" i="15" s="1"/>
  <c r="K120" i="18"/>
  <c r="K24" i="15"/>
  <c r="Q40" i="8" l="1"/>
  <c r="J148" i="4"/>
  <c r="Q38" i="8"/>
  <c r="J55" i="4"/>
  <c r="J61" i="4"/>
  <c r="L159" i="4"/>
  <c r="R11" i="8"/>
  <c r="R9" i="8"/>
  <c r="K143" i="4"/>
  <c r="K160" i="4"/>
  <c r="I28" i="5"/>
  <c r="K82" i="4"/>
  <c r="I29" i="5" s="1"/>
  <c r="Q19" i="8"/>
  <c r="Q45" i="8" s="1"/>
  <c r="Q44" i="8"/>
  <c r="K56" i="4" s="1"/>
  <c r="J21" i="7"/>
  <c r="J23" i="7"/>
  <c r="J25" i="7"/>
  <c r="I91" i="6"/>
  <c r="K20" i="7"/>
  <c r="K24" i="7"/>
  <c r="K22" i="7"/>
  <c r="K60" i="4"/>
  <c r="K15" i="7"/>
  <c r="F60" i="11"/>
  <c r="K128" i="18"/>
  <c r="E109" i="15" s="1"/>
  <c r="F198" i="10"/>
  <c r="K119" i="18"/>
  <c r="L24" i="15"/>
  <c r="K55" i="4" l="1"/>
  <c r="L147" i="4"/>
  <c r="L13" i="7"/>
  <c r="L14" i="7" s="1"/>
  <c r="L153" i="4"/>
  <c r="L152" i="4"/>
  <c r="L142" i="4"/>
  <c r="L11" i="7"/>
  <c r="L127" i="4"/>
  <c r="L8" i="7"/>
  <c r="L9" i="7" s="1"/>
  <c r="L71" i="4"/>
  <c r="L53" i="4"/>
  <c r="L128" i="4"/>
  <c r="L10" i="7"/>
  <c r="R12" i="8"/>
  <c r="R18" i="8"/>
  <c r="R20" i="8"/>
  <c r="R21" i="8" s="1"/>
  <c r="R26" i="8"/>
  <c r="R32" i="8"/>
  <c r="R25" i="8"/>
  <c r="R24" i="8"/>
  <c r="K145" i="4"/>
  <c r="K146" i="4"/>
  <c r="K144" i="4"/>
  <c r="R23" i="8"/>
  <c r="R16" i="8"/>
  <c r="R22" i="8"/>
  <c r="R15" i="8"/>
  <c r="R27" i="8"/>
  <c r="R29" i="8"/>
  <c r="R30" i="8"/>
  <c r="R28" i="8"/>
  <c r="R17" i="8"/>
  <c r="R10" i="8"/>
  <c r="L12" i="7"/>
  <c r="S8" i="8"/>
  <c r="K21" i="7"/>
  <c r="K25" i="7"/>
  <c r="K23" i="7"/>
  <c r="K90" i="18"/>
  <c r="E102" i="15" s="1"/>
  <c r="K61" i="4"/>
  <c r="M24" i="15"/>
  <c r="R38" i="8" l="1"/>
  <c r="K148" i="4"/>
  <c r="R40" i="8"/>
  <c r="R39" i="8"/>
  <c r="L82" i="4"/>
  <c r="J29" i="5" s="1"/>
  <c r="J28" i="5"/>
  <c r="R19" i="8"/>
  <c r="R45" i="8" s="1"/>
  <c r="R44" i="8"/>
  <c r="L56" i="4" s="1"/>
  <c r="L160" i="4"/>
  <c r="L143" i="4"/>
  <c r="L145" i="4" s="1"/>
  <c r="M159" i="4"/>
  <c r="S9" i="8"/>
  <c r="S11" i="8"/>
  <c r="L60" i="4"/>
  <c r="L20" i="7"/>
  <c r="L24" i="7"/>
  <c r="L15" i="7"/>
  <c r="L22" i="7"/>
  <c r="K122" i="18"/>
  <c r="E104" i="15" s="1"/>
  <c r="N24" i="15"/>
  <c r="M147" i="4" l="1"/>
  <c r="M13" i="7"/>
  <c r="M14" i="7" s="1"/>
  <c r="S20" i="8"/>
  <c r="S21" i="8" s="1"/>
  <c r="S18" i="8"/>
  <c r="S12" i="8"/>
  <c r="M153" i="4"/>
  <c r="M152" i="4"/>
  <c r="M10" i="7"/>
  <c r="M128" i="4"/>
  <c r="M142" i="4"/>
  <c r="M11" i="7"/>
  <c r="M53" i="4"/>
  <c r="M71" i="4"/>
  <c r="M127" i="4"/>
  <c r="L144" i="4"/>
  <c r="L146" i="4"/>
  <c r="M12" i="7"/>
  <c r="S17" i="8"/>
  <c r="T8" i="8"/>
  <c r="N159" i="4" s="1"/>
  <c r="S10" i="8"/>
  <c r="S29" i="8"/>
  <c r="S28" i="8"/>
  <c r="S27" i="8"/>
  <c r="S15" i="8"/>
  <c r="S30" i="8"/>
  <c r="S22" i="8"/>
  <c r="S16" i="8"/>
  <c r="S23" i="8"/>
  <c r="S25" i="8"/>
  <c r="S24" i="8"/>
  <c r="S26" i="8"/>
  <c r="S32" i="8"/>
  <c r="M8" i="7"/>
  <c r="M9" i="7" s="1"/>
  <c r="L21" i="7"/>
  <c r="L25" i="7"/>
  <c r="L23" i="7"/>
  <c r="L55" i="4"/>
  <c r="L61" i="4"/>
  <c r="O24" i="15"/>
  <c r="L148" i="4" l="1"/>
  <c r="S39" i="8"/>
  <c r="S40" i="8"/>
  <c r="S38" i="8"/>
  <c r="S44" i="8"/>
  <c r="M56" i="4" s="1"/>
  <c r="S19" i="8"/>
  <c r="S45" i="8" s="1"/>
  <c r="K28" i="5"/>
  <c r="M82" i="4"/>
  <c r="K29" i="5" s="1"/>
  <c r="T11" i="8"/>
  <c r="T9" i="8"/>
  <c r="M143" i="4"/>
  <c r="M160" i="4"/>
  <c r="M60" i="4"/>
  <c r="M22" i="7"/>
  <c r="M15" i="7"/>
  <c r="M24" i="7"/>
  <c r="M20" i="7"/>
  <c r="P24" i="15"/>
  <c r="M55" i="4" l="1"/>
  <c r="M145" i="4"/>
  <c r="M146" i="4"/>
  <c r="M144" i="4"/>
  <c r="N147" i="4"/>
  <c r="N13" i="7"/>
  <c r="N14" i="7" s="1"/>
  <c r="N153" i="4"/>
  <c r="N152" i="4"/>
  <c r="N71" i="4"/>
  <c r="N142" i="4"/>
  <c r="N127" i="4"/>
  <c r="N10" i="7"/>
  <c r="N11" i="7"/>
  <c r="N128" i="4"/>
  <c r="N53" i="4"/>
  <c r="N8" i="7"/>
  <c r="N9" i="7" s="1"/>
  <c r="T27" i="8"/>
  <c r="T28" i="8"/>
  <c r="T32" i="8"/>
  <c r="T16" i="8"/>
  <c r="T26" i="8"/>
  <c r="T22" i="8"/>
  <c r="T15" i="8"/>
  <c r="T25" i="8"/>
  <c r="T29" i="8"/>
  <c r="T12" i="8"/>
  <c r="T30" i="8"/>
  <c r="T17" i="8"/>
  <c r="N12" i="7"/>
  <c r="T23" i="8"/>
  <c r="U8" i="8"/>
  <c r="T24" i="8"/>
  <c r="T10" i="8"/>
  <c r="T20" i="8"/>
  <c r="T21" i="8" s="1"/>
  <c r="T18" i="8"/>
  <c r="M23" i="7"/>
  <c r="M25" i="7"/>
  <c r="M21" i="7"/>
  <c r="M61" i="4"/>
  <c r="F12" i="15"/>
  <c r="T38" i="8" l="1"/>
  <c r="M148" i="4"/>
  <c r="T40" i="8"/>
  <c r="T39" i="8"/>
  <c r="N82" i="4"/>
  <c r="L29" i="5" s="1"/>
  <c r="L28" i="5"/>
  <c r="O159" i="4"/>
  <c r="U11" i="8"/>
  <c r="U9" i="8"/>
  <c r="N143" i="4"/>
  <c r="N160" i="4"/>
  <c r="T44" i="8"/>
  <c r="N56" i="4" s="1"/>
  <c r="T19" i="8"/>
  <c r="T45" i="8" s="1"/>
  <c r="N60" i="4"/>
  <c r="N20" i="7"/>
  <c r="N22" i="7"/>
  <c r="N15" i="7"/>
  <c r="N24" i="7"/>
  <c r="P27" i="15"/>
  <c r="F27" i="15"/>
  <c r="G27" i="15"/>
  <c r="N27" i="15"/>
  <c r="O27" i="15"/>
  <c r="M27" i="15"/>
  <c r="J27" i="15"/>
  <c r="K27" i="15"/>
  <c r="H27" i="15"/>
  <c r="I27" i="15"/>
  <c r="L27" i="15"/>
  <c r="G100" i="11"/>
  <c r="N55" i="4" l="1"/>
  <c r="O147" i="4"/>
  <c r="O152" i="4"/>
  <c r="O153" i="4"/>
  <c r="O13" i="7"/>
  <c r="O14" i="7" s="1"/>
  <c r="O10" i="7"/>
  <c r="N146" i="4"/>
  <c r="N145" i="4"/>
  <c r="N144" i="4"/>
  <c r="O53" i="4"/>
  <c r="O11" i="7"/>
  <c r="O142" i="4"/>
  <c r="O71" i="4"/>
  <c r="O128" i="4"/>
  <c r="O127" i="4"/>
  <c r="O8" i="7"/>
  <c r="O9" i="7" s="1"/>
  <c r="U23" i="8"/>
  <c r="U26" i="8"/>
  <c r="U30" i="8"/>
  <c r="U15" i="8"/>
  <c r="U22" i="8"/>
  <c r="U25" i="8"/>
  <c r="U24" i="8"/>
  <c r="U27" i="8"/>
  <c r="U28" i="8"/>
  <c r="U29" i="8"/>
  <c r="U16" i="8"/>
  <c r="U17" i="8"/>
  <c r="U10" i="8"/>
  <c r="V8" i="8"/>
  <c r="P159" i="4" s="1"/>
  <c r="U32" i="8"/>
  <c r="O12" i="7"/>
  <c r="U18" i="8"/>
  <c r="U19" i="8" s="1"/>
  <c r="U20" i="8"/>
  <c r="U21" i="8" s="1"/>
  <c r="U12" i="8"/>
  <c r="N21" i="7"/>
  <c r="N23" i="7"/>
  <c r="N25" i="7"/>
  <c r="N61" i="4"/>
  <c r="P36" i="15"/>
  <c r="P37" i="15"/>
  <c r="P38" i="15"/>
  <c r="P28" i="15"/>
  <c r="P43" i="15"/>
  <c r="P40" i="15"/>
  <c r="P41" i="15"/>
  <c r="P42" i="15"/>
  <c r="P44" i="15"/>
  <c r="F36" i="15"/>
  <c r="F37" i="15"/>
  <c r="F38" i="15"/>
  <c r="F28" i="15"/>
  <c r="F42" i="15"/>
  <c r="F44" i="15"/>
  <c r="F41" i="15"/>
  <c r="F43" i="15"/>
  <c r="F40" i="15"/>
  <c r="G36" i="15"/>
  <c r="G37" i="15"/>
  <c r="G38" i="15"/>
  <c r="G28" i="15"/>
  <c r="G41" i="15"/>
  <c r="G43" i="15"/>
  <c r="G42" i="15"/>
  <c r="G44" i="15"/>
  <c r="G40" i="15"/>
  <c r="N36" i="15"/>
  <c r="N37" i="15"/>
  <c r="N38" i="15"/>
  <c r="N28" i="15"/>
  <c r="N41" i="15"/>
  <c r="N42" i="15"/>
  <c r="N44" i="15"/>
  <c r="N43" i="15"/>
  <c r="N40" i="15"/>
  <c r="O36" i="15"/>
  <c r="O37" i="15"/>
  <c r="O38" i="15"/>
  <c r="O28" i="15"/>
  <c r="O44" i="15"/>
  <c r="O41" i="15"/>
  <c r="O43" i="15"/>
  <c r="O42" i="15"/>
  <c r="O40" i="15"/>
  <c r="M36" i="15"/>
  <c r="M37" i="15"/>
  <c r="M38" i="15"/>
  <c r="M28" i="15"/>
  <c r="M42" i="15"/>
  <c r="M41" i="15"/>
  <c r="M44" i="15"/>
  <c r="M43" i="15"/>
  <c r="M40" i="15"/>
  <c r="J36" i="15"/>
  <c r="J37" i="15"/>
  <c r="J38" i="15"/>
  <c r="J28" i="15"/>
  <c r="J43" i="15"/>
  <c r="J42" i="15"/>
  <c r="J41" i="15"/>
  <c r="J44" i="15"/>
  <c r="J40" i="15"/>
  <c r="K36" i="15"/>
  <c r="K37" i="15"/>
  <c r="K38" i="15"/>
  <c r="K28" i="15"/>
  <c r="K42" i="15"/>
  <c r="K44" i="15"/>
  <c r="K43" i="15"/>
  <c r="K41" i="15"/>
  <c r="K40" i="15"/>
  <c r="H36" i="15"/>
  <c r="H37" i="15"/>
  <c r="H38" i="15"/>
  <c r="H28" i="15"/>
  <c r="H42" i="15"/>
  <c r="H41" i="15"/>
  <c r="H44" i="15"/>
  <c r="H43" i="15"/>
  <c r="H40" i="15"/>
  <c r="I36" i="15"/>
  <c r="I37" i="15"/>
  <c r="I38" i="15"/>
  <c r="I28" i="15"/>
  <c r="I43" i="15"/>
  <c r="I44" i="15"/>
  <c r="I42" i="15"/>
  <c r="I41" i="15"/>
  <c r="I40" i="15"/>
  <c r="L36" i="15"/>
  <c r="L37" i="15"/>
  <c r="L38" i="15"/>
  <c r="L28" i="15"/>
  <c r="L42" i="15"/>
  <c r="L41" i="15"/>
  <c r="L44" i="15"/>
  <c r="L43" i="15"/>
  <c r="L40" i="15"/>
  <c r="F100" i="11"/>
  <c r="U40" i="8" l="1"/>
  <c r="M28" i="5"/>
  <c r="O82" i="4"/>
  <c r="M29" i="5" s="1"/>
  <c r="U39" i="8"/>
  <c r="U44" i="8"/>
  <c r="O56" i="4" s="1"/>
  <c r="N148" i="4"/>
  <c r="U38" i="8"/>
  <c r="O160" i="4"/>
  <c r="O143" i="4"/>
  <c r="V9" i="8"/>
  <c r="V11" i="8"/>
  <c r="O60" i="4"/>
  <c r="O22" i="7"/>
  <c r="O20" i="7"/>
  <c r="O24" i="7"/>
  <c r="U45" i="8"/>
  <c r="O15" i="7"/>
  <c r="P47" i="15"/>
  <c r="P39" i="15"/>
  <c r="P48" i="15"/>
  <c r="E191" i="10"/>
  <c r="P45" i="15"/>
  <c r="F47" i="15"/>
  <c r="F39" i="15"/>
  <c r="F48" i="15"/>
  <c r="F45" i="15"/>
  <c r="G47" i="15"/>
  <c r="G39" i="15"/>
  <c r="G48" i="15"/>
  <c r="G45" i="15"/>
  <c r="N39" i="15"/>
  <c r="N47" i="15"/>
  <c r="N48" i="15"/>
  <c r="N45" i="15"/>
  <c r="O47" i="15"/>
  <c r="O39" i="15"/>
  <c r="O48" i="15"/>
  <c r="O45" i="15"/>
  <c r="M47" i="15"/>
  <c r="M39" i="15"/>
  <c r="M48" i="15"/>
  <c r="M45" i="15"/>
  <c r="J47" i="15"/>
  <c r="J39" i="15"/>
  <c r="J48" i="15"/>
  <c r="J45" i="15"/>
  <c r="K39" i="15"/>
  <c r="K47" i="15"/>
  <c r="K48" i="15"/>
  <c r="K45" i="15"/>
  <c r="H47" i="15"/>
  <c r="H39" i="15"/>
  <c r="H48" i="15"/>
  <c r="H45" i="15"/>
  <c r="I47" i="15"/>
  <c r="I39" i="15"/>
  <c r="I48" i="15"/>
  <c r="I45" i="15"/>
  <c r="L39" i="15"/>
  <c r="L47" i="15"/>
  <c r="L48" i="15"/>
  <c r="L45" i="15"/>
  <c r="O145" i="4" l="1"/>
  <c r="O146" i="4"/>
  <c r="O144" i="4"/>
  <c r="O148" i="4" s="1"/>
  <c r="V22" i="8"/>
  <c r="V10" i="8"/>
  <c r="V17" i="8"/>
  <c r="W8" i="8"/>
  <c r="V12" i="8"/>
  <c r="V20" i="8"/>
  <c r="V21" i="8" s="1"/>
  <c r="V18" i="8"/>
  <c r="V23" i="8"/>
  <c r="V26" i="8"/>
  <c r="P12" i="7"/>
  <c r="V27" i="8"/>
  <c r="V15" i="8"/>
  <c r="V28" i="8"/>
  <c r="V25" i="8"/>
  <c r="V16" i="8"/>
  <c r="V29" i="8"/>
  <c r="V32" i="8"/>
  <c r="V24" i="8"/>
  <c r="V30" i="8"/>
  <c r="P71" i="4"/>
  <c r="P147" i="4"/>
  <c r="P153" i="4"/>
  <c r="P152" i="4"/>
  <c r="P11" i="7"/>
  <c r="P127" i="4"/>
  <c r="P142" i="4"/>
  <c r="P13" i="7"/>
  <c r="P14" i="7" s="1"/>
  <c r="P128" i="4"/>
  <c r="P8" i="7"/>
  <c r="P9" i="7" s="1"/>
  <c r="P53" i="4"/>
  <c r="P10" i="7"/>
  <c r="O55" i="4"/>
  <c r="O61" i="4"/>
  <c r="O21" i="7"/>
  <c r="O25" i="7"/>
  <c r="O23" i="7"/>
  <c r="P58" i="15"/>
  <c r="P49" i="15"/>
  <c r="P89" i="15"/>
  <c r="P59" i="15"/>
  <c r="F58" i="15"/>
  <c r="F49" i="15"/>
  <c r="F7" i="23" s="1"/>
  <c r="F89" i="15"/>
  <c r="F59" i="15"/>
  <c r="G58" i="15"/>
  <c r="G49" i="15"/>
  <c r="G89" i="15"/>
  <c r="G59" i="15"/>
  <c r="N89" i="15"/>
  <c r="N58" i="15"/>
  <c r="N49" i="15"/>
  <c r="N59" i="15"/>
  <c r="O58" i="15"/>
  <c r="O49" i="15"/>
  <c r="O89" i="15"/>
  <c r="O59" i="15"/>
  <c r="M58" i="15"/>
  <c r="M49" i="15"/>
  <c r="M89" i="15"/>
  <c r="M59" i="15"/>
  <c r="J58" i="15"/>
  <c r="J49" i="15"/>
  <c r="J89" i="15"/>
  <c r="J59" i="15"/>
  <c r="K89" i="15"/>
  <c r="K58" i="15"/>
  <c r="K49" i="15"/>
  <c r="K59" i="15"/>
  <c r="H58" i="15"/>
  <c r="H49" i="15"/>
  <c r="H89" i="15"/>
  <c r="H59" i="15"/>
  <c r="I58" i="15"/>
  <c r="I49" i="15"/>
  <c r="I89" i="15"/>
  <c r="I59" i="15"/>
  <c r="L89" i="15"/>
  <c r="L58" i="15"/>
  <c r="L49" i="15"/>
  <c r="L59" i="15"/>
  <c r="P46" i="15"/>
  <c r="F46" i="15"/>
  <c r="G46" i="15"/>
  <c r="N46" i="15"/>
  <c r="O46" i="15"/>
  <c r="M46" i="15"/>
  <c r="J46" i="15"/>
  <c r="K46" i="15"/>
  <c r="H46" i="15"/>
  <c r="I46" i="15"/>
  <c r="L46" i="15"/>
  <c r="E31" i="10"/>
  <c r="V38" i="8" l="1"/>
  <c r="V40" i="8"/>
  <c r="V39" i="8"/>
  <c r="P143" i="4"/>
  <c r="P160" i="4"/>
  <c r="Q159" i="4"/>
  <c r="G61" i="11" s="1"/>
  <c r="W11" i="8"/>
  <c r="W9" i="8"/>
  <c r="P82" i="4"/>
  <c r="N29" i="5" s="1"/>
  <c r="N28" i="5"/>
  <c r="V44" i="8"/>
  <c r="P56" i="4" s="1"/>
  <c r="V19" i="8"/>
  <c r="V45" i="8" s="1"/>
  <c r="P55" i="4" s="1"/>
  <c r="P15" i="7"/>
  <c r="P60" i="4"/>
  <c r="P22" i="7"/>
  <c r="P24" i="7"/>
  <c r="P20" i="7"/>
  <c r="P66" i="15"/>
  <c r="P50" i="15"/>
  <c r="P67" i="15"/>
  <c r="F66" i="15"/>
  <c r="F50" i="15"/>
  <c r="G57" i="11"/>
  <c r="F67" i="15"/>
  <c r="G66" i="15"/>
  <c r="G50" i="15"/>
  <c r="G67" i="15"/>
  <c r="N66" i="15"/>
  <c r="N50" i="15"/>
  <c r="N67" i="15"/>
  <c r="O66" i="15"/>
  <c r="O50" i="15"/>
  <c r="O67" i="15"/>
  <c r="M66" i="15"/>
  <c r="M50" i="15"/>
  <c r="M67" i="15"/>
  <c r="J66" i="15"/>
  <c r="J50" i="15"/>
  <c r="J67" i="15"/>
  <c r="K66" i="15"/>
  <c r="K50" i="15"/>
  <c r="K67" i="15"/>
  <c r="H66" i="15"/>
  <c r="H50" i="15"/>
  <c r="H67" i="15"/>
  <c r="I66" i="15"/>
  <c r="I50" i="15"/>
  <c r="I67" i="15"/>
  <c r="L66" i="15"/>
  <c r="L50" i="15"/>
  <c r="L67" i="15"/>
  <c r="P144" i="4" l="1"/>
  <c r="P145" i="4"/>
  <c r="P146" i="4"/>
  <c r="Q142" i="4"/>
  <c r="Q127" i="4"/>
  <c r="Q10" i="7"/>
  <c r="F10" i="7" s="1"/>
  <c r="Q11" i="7"/>
  <c r="F11" i="7" s="1"/>
  <c r="Q13" i="7"/>
  <c r="Q128" i="4"/>
  <c r="Q53" i="4"/>
  <c r="Q8" i="7"/>
  <c r="Q9" i="7" s="1"/>
  <c r="Q147" i="4"/>
  <c r="Q153" i="4"/>
  <c r="Q71" i="4"/>
  <c r="Q152" i="4"/>
  <c r="W15" i="8"/>
  <c r="W12" i="8"/>
  <c r="W24" i="8"/>
  <c r="X8" i="8"/>
  <c r="W18" i="8"/>
  <c r="W22" i="8"/>
  <c r="Q12" i="7"/>
  <c r="F12" i="7" s="1"/>
  <c r="W30" i="8"/>
  <c r="W25" i="8"/>
  <c r="W28" i="8"/>
  <c r="W10" i="8"/>
  <c r="W26" i="8"/>
  <c r="W23" i="8"/>
  <c r="W29" i="8"/>
  <c r="W27" i="8"/>
  <c r="W38" i="8" s="1"/>
  <c r="W16" i="8"/>
  <c r="W17" i="8"/>
  <c r="W32" i="8"/>
  <c r="W20" i="8"/>
  <c r="W21" i="8" s="1"/>
  <c r="P25" i="7"/>
  <c r="P21" i="7"/>
  <c r="P23" i="7"/>
  <c r="F61" i="11"/>
  <c r="P61" i="4"/>
  <c r="P68" i="15"/>
  <c r="P75" i="15" s="1"/>
  <c r="P73" i="15"/>
  <c r="E245" i="10"/>
  <c r="E192" i="10"/>
  <c r="E157" i="10"/>
  <c r="E520" i="10" s="1"/>
  <c r="P69" i="15"/>
  <c r="F68" i="15"/>
  <c r="F73" i="15"/>
  <c r="F98" i="15" s="1"/>
  <c r="G98" i="15" s="1"/>
  <c r="F57" i="11"/>
  <c r="F69" i="15"/>
  <c r="G73" i="15"/>
  <c r="G68" i="15"/>
  <c r="G69" i="15"/>
  <c r="G76" i="15" s="1"/>
  <c r="N68" i="15"/>
  <c r="N73" i="15"/>
  <c r="N69" i="15"/>
  <c r="O68" i="15"/>
  <c r="O75" i="15" s="1"/>
  <c r="O73" i="15"/>
  <c r="O69" i="15"/>
  <c r="M68" i="15"/>
  <c r="M73" i="15"/>
  <c r="M69" i="15"/>
  <c r="J73" i="15"/>
  <c r="J68" i="15"/>
  <c r="J69" i="15"/>
  <c r="J76" i="15" s="1"/>
  <c r="K73" i="15"/>
  <c r="K68" i="15"/>
  <c r="K69" i="15"/>
  <c r="H73" i="15"/>
  <c r="H68" i="15"/>
  <c r="H69" i="15"/>
  <c r="H76" i="15" s="1"/>
  <c r="I68" i="15"/>
  <c r="I75" i="15" s="1"/>
  <c r="I73" i="15"/>
  <c r="I69" i="15"/>
  <c r="L73" i="15"/>
  <c r="L68" i="15"/>
  <c r="L75" i="15" s="1"/>
  <c r="L69" i="15"/>
  <c r="W40" i="8" l="1"/>
  <c r="P148" i="4"/>
  <c r="W39" i="8"/>
  <c r="Q82" i="4"/>
  <c r="G49" i="16" s="1"/>
  <c r="O28" i="5"/>
  <c r="Q14" i="7"/>
  <c r="F13" i="7"/>
  <c r="X9" i="8"/>
  <c r="X11" i="8"/>
  <c r="W19" i="8"/>
  <c r="W45" i="8" s="1"/>
  <c r="Q61" i="4" s="1"/>
  <c r="W44" i="8"/>
  <c r="Q56" i="4" s="1"/>
  <c r="Q143" i="4"/>
  <c r="Q160" i="4"/>
  <c r="F7" i="16" s="1"/>
  <c r="G88" i="11"/>
  <c r="F88" i="11"/>
  <c r="Q24" i="7"/>
  <c r="Q20" i="7"/>
  <c r="Q22" i="7"/>
  <c r="Q60" i="4"/>
  <c r="N70" i="15"/>
  <c r="L70" i="15"/>
  <c r="O70" i="15"/>
  <c r="I70" i="15"/>
  <c r="M70" i="15"/>
  <c r="H70" i="15"/>
  <c r="H75" i="15"/>
  <c r="P60" i="15"/>
  <c r="Q112" i="4"/>
  <c r="P54" i="15"/>
  <c r="P61" i="15"/>
  <c r="F60" i="15"/>
  <c r="F61" i="15"/>
  <c r="G54" i="15"/>
  <c r="G60" i="15"/>
  <c r="H111" i="4"/>
  <c r="G77" i="15"/>
  <c r="G78" i="15" s="1"/>
  <c r="G61" i="15"/>
  <c r="N60" i="15"/>
  <c r="N54" i="15"/>
  <c r="N61" i="15"/>
  <c r="N76" i="15"/>
  <c r="O60" i="15"/>
  <c r="P112" i="4"/>
  <c r="O54" i="15"/>
  <c r="O61" i="15"/>
  <c r="O76" i="15"/>
  <c r="M60" i="15"/>
  <c r="M54" i="15"/>
  <c r="M61" i="15"/>
  <c r="M76" i="15"/>
  <c r="J54" i="15"/>
  <c r="J60" i="15"/>
  <c r="K111" i="4"/>
  <c r="J77" i="15"/>
  <c r="J78" i="15" s="1"/>
  <c r="J61" i="15"/>
  <c r="K54" i="15"/>
  <c r="K60" i="15"/>
  <c r="K61" i="15"/>
  <c r="H54" i="15"/>
  <c r="H60" i="15"/>
  <c r="I111" i="4"/>
  <c r="H77" i="15"/>
  <c r="H78" i="15" s="1"/>
  <c r="H61" i="15"/>
  <c r="I60" i="15"/>
  <c r="J112" i="4"/>
  <c r="I54" i="15"/>
  <c r="I61" i="15"/>
  <c r="I76" i="15"/>
  <c r="M112" i="4"/>
  <c r="L54" i="15"/>
  <c r="L60" i="15"/>
  <c r="L61" i="15"/>
  <c r="L76" i="15"/>
  <c r="P76" i="15"/>
  <c r="P70" i="15"/>
  <c r="F75" i="15"/>
  <c r="F101" i="15" s="1"/>
  <c r="G101" i="15" s="1"/>
  <c r="F70" i="15"/>
  <c r="F76" i="15"/>
  <c r="F100" i="15" s="1"/>
  <c r="G100" i="15" s="1"/>
  <c r="G75" i="15"/>
  <c r="G70" i="15"/>
  <c r="N75" i="15"/>
  <c r="M75" i="15"/>
  <c r="J75" i="15"/>
  <c r="J70" i="15"/>
  <c r="K75" i="15"/>
  <c r="K70" i="15"/>
  <c r="K76" i="15"/>
  <c r="G44" i="11"/>
  <c r="F44" i="11"/>
  <c r="G45" i="11" l="1"/>
  <c r="F45" i="11"/>
  <c r="I49" i="16"/>
  <c r="G72" i="16"/>
  <c r="F27" i="16"/>
  <c r="G27" i="16"/>
  <c r="F49" i="16"/>
  <c r="I72" i="16"/>
  <c r="F72" i="16"/>
  <c r="H72" i="16"/>
  <c r="O29" i="5"/>
  <c r="H27" i="16"/>
  <c r="I27" i="16"/>
  <c r="I31" i="16" s="1"/>
  <c r="H49" i="16"/>
  <c r="H50" i="16" s="1"/>
  <c r="F14" i="7"/>
  <c r="Q15" i="7"/>
  <c r="F15" i="7" s="1"/>
  <c r="X26" i="8"/>
  <c r="X20" i="8"/>
  <c r="X21" i="8" s="1"/>
  <c r="X17" i="8"/>
  <c r="X32" i="8"/>
  <c r="X23" i="8"/>
  <c r="X27" i="8"/>
  <c r="X15" i="8"/>
  <c r="X22" i="8"/>
  <c r="X25" i="8"/>
  <c r="X28" i="8"/>
  <c r="X29" i="8"/>
  <c r="X24" i="8"/>
  <c r="X30" i="8"/>
  <c r="Y8" i="8"/>
  <c r="X12" i="8"/>
  <c r="X16" i="8"/>
  <c r="X18" i="8"/>
  <c r="X10" i="8"/>
  <c r="Q146" i="4"/>
  <c r="Q145" i="4"/>
  <c r="Q144" i="4"/>
  <c r="Q23" i="7"/>
  <c r="Q25" i="7"/>
  <c r="Q21" i="7"/>
  <c r="E32" i="10"/>
  <c r="Q55" i="4"/>
  <c r="F98" i="4"/>
  <c r="N71" i="15"/>
  <c r="L71" i="15"/>
  <c r="O71" i="15"/>
  <c r="I112" i="4"/>
  <c r="I71" i="15"/>
  <c r="H71" i="15"/>
  <c r="J71" i="15"/>
  <c r="G52" i="16"/>
  <c r="G51" i="16"/>
  <c r="G50" i="16"/>
  <c r="M71" i="15"/>
  <c r="P62" i="15"/>
  <c r="P55" i="15"/>
  <c r="P56" i="15"/>
  <c r="F62" i="15"/>
  <c r="F55" i="15"/>
  <c r="F56" i="15"/>
  <c r="G62" i="15"/>
  <c r="G55" i="15"/>
  <c r="H154" i="4"/>
  <c r="G84" i="15"/>
  <c r="G56" i="15"/>
  <c r="N62" i="15"/>
  <c r="N55" i="15"/>
  <c r="N56" i="15"/>
  <c r="O111" i="4"/>
  <c r="N77" i="15"/>
  <c r="N78" i="15" s="1"/>
  <c r="O62" i="15"/>
  <c r="O55" i="15"/>
  <c r="O56" i="15"/>
  <c r="P111" i="4"/>
  <c r="O77" i="15"/>
  <c r="O78" i="15" s="1"/>
  <c r="M62" i="15"/>
  <c r="M55" i="15"/>
  <c r="M56" i="15"/>
  <c r="M77" i="15"/>
  <c r="M78" i="15" s="1"/>
  <c r="N111" i="4"/>
  <c r="J62" i="15"/>
  <c r="J55" i="15"/>
  <c r="K154" i="4"/>
  <c r="J84" i="15"/>
  <c r="J56" i="15"/>
  <c r="K62" i="15"/>
  <c r="K55" i="15"/>
  <c r="K56" i="15"/>
  <c r="H62" i="15"/>
  <c r="H55" i="15"/>
  <c r="I154" i="4"/>
  <c r="H84" i="15"/>
  <c r="H56" i="15"/>
  <c r="I62" i="15"/>
  <c r="I55" i="15"/>
  <c r="I56" i="15"/>
  <c r="J111" i="4"/>
  <c r="I77" i="15"/>
  <c r="I78" i="15" s="1"/>
  <c r="L62" i="15"/>
  <c r="L55" i="15"/>
  <c r="L56" i="15"/>
  <c r="M111" i="4"/>
  <c r="L77" i="15"/>
  <c r="L78" i="15" s="1"/>
  <c r="Q111" i="4"/>
  <c r="P77" i="15"/>
  <c r="P78" i="15" s="1"/>
  <c r="P71" i="15"/>
  <c r="F77" i="15"/>
  <c r="F78" i="15" s="1"/>
  <c r="H112" i="4"/>
  <c r="O112" i="4"/>
  <c r="N112" i="4"/>
  <c r="K112" i="4"/>
  <c r="L112" i="4"/>
  <c r="K77" i="15"/>
  <c r="K78" i="15" s="1"/>
  <c r="L111" i="4"/>
  <c r="F71" i="15"/>
  <c r="F97" i="15" s="1"/>
  <c r="G97" i="15" s="1"/>
  <c r="G71" i="15"/>
  <c r="K71" i="15"/>
  <c r="G53" i="16"/>
  <c r="G39" i="4"/>
  <c r="F21" i="15"/>
  <c r="X39" i="8" l="1"/>
  <c r="X38" i="8"/>
  <c r="X40" i="8"/>
  <c r="I52" i="16"/>
  <c r="I51" i="16"/>
  <c r="I53" i="16"/>
  <c r="I50" i="16"/>
  <c r="G76" i="16"/>
  <c r="G75" i="16"/>
  <c r="G74" i="16"/>
  <c r="G73" i="16"/>
  <c r="F86" i="16"/>
  <c r="H70" i="11"/>
  <c r="I101" i="16"/>
  <c r="H101" i="16"/>
  <c r="G101" i="16"/>
  <c r="F101" i="16"/>
  <c r="G86" i="16"/>
  <c r="H102" i="16"/>
  <c r="G102" i="16"/>
  <c r="F102" i="16"/>
  <c r="F53" i="16"/>
  <c r="G90" i="16" s="1"/>
  <c r="I76" i="16"/>
  <c r="I75" i="16"/>
  <c r="I74" i="16"/>
  <c r="I73" i="16"/>
  <c r="F30" i="16"/>
  <c r="F89" i="16" s="1"/>
  <c r="F31" i="16"/>
  <c r="F90" i="16" s="1"/>
  <c r="F29" i="16"/>
  <c r="F88" i="16" s="1"/>
  <c r="F28" i="16"/>
  <c r="F87" i="16" s="1"/>
  <c r="G31" i="16"/>
  <c r="G30" i="16"/>
  <c r="G29" i="16"/>
  <c r="G28" i="16"/>
  <c r="F52" i="16"/>
  <c r="G89" i="16" s="1"/>
  <c r="I102" i="16"/>
  <c r="F51" i="16"/>
  <c r="G88" i="16" s="1"/>
  <c r="F50" i="16"/>
  <c r="G87" i="16" s="1"/>
  <c r="H86" i="16"/>
  <c r="G103" i="16"/>
  <c r="H103" i="16"/>
  <c r="I103" i="16"/>
  <c r="F103" i="16"/>
  <c r="F74" i="16"/>
  <c r="H88" i="16" s="1"/>
  <c r="F76" i="16"/>
  <c r="H90" i="16" s="1"/>
  <c r="F75" i="16"/>
  <c r="F73" i="16"/>
  <c r="H87" i="16" s="1"/>
  <c r="H74" i="16"/>
  <c r="H73" i="16"/>
  <c r="H76" i="16"/>
  <c r="H75" i="16"/>
  <c r="H31" i="16"/>
  <c r="H30" i="16"/>
  <c r="H29" i="16"/>
  <c r="H28" i="16"/>
  <c r="I30" i="16"/>
  <c r="I28" i="16"/>
  <c r="I29" i="16"/>
  <c r="H52" i="16"/>
  <c r="H53" i="16"/>
  <c r="H51" i="16"/>
  <c r="Q148" i="4"/>
  <c r="Y11" i="8"/>
  <c r="Y9" i="8"/>
  <c r="X44" i="8"/>
  <c r="X19" i="8"/>
  <c r="X45" i="8" s="1"/>
  <c r="F23" i="7"/>
  <c r="F25" i="7"/>
  <c r="F21" i="7"/>
  <c r="E53" i="5"/>
  <c r="E16" i="5"/>
  <c r="N79" i="15"/>
  <c r="L72" i="15"/>
  <c r="L79" i="15"/>
  <c r="N74" i="15"/>
  <c r="O35" i="4"/>
  <c r="M35" i="4"/>
  <c r="L74" i="15"/>
  <c r="O79" i="15"/>
  <c r="O72" i="15"/>
  <c r="O74" i="15"/>
  <c r="P35" i="4"/>
  <c r="M79" i="15"/>
  <c r="H79" i="15"/>
  <c r="I79" i="15"/>
  <c r="H72" i="15"/>
  <c r="I74" i="15"/>
  <c r="J35" i="4"/>
  <c r="I72" i="15"/>
  <c r="I35" i="4"/>
  <c r="H87" i="15"/>
  <c r="H74" i="15"/>
  <c r="J72" i="15"/>
  <c r="K35" i="4"/>
  <c r="J74" i="15"/>
  <c r="J79" i="15"/>
  <c r="N72" i="15"/>
  <c r="M74" i="15"/>
  <c r="N35" i="4"/>
  <c r="M72" i="15"/>
  <c r="P65" i="15"/>
  <c r="P64" i="15"/>
  <c r="E158" i="10"/>
  <c r="P57" i="15"/>
  <c r="F64" i="15"/>
  <c r="F65" i="15"/>
  <c r="F57" i="15"/>
  <c r="G65" i="15"/>
  <c r="G64" i="15"/>
  <c r="G57" i="15"/>
  <c r="H114" i="4"/>
  <c r="G88" i="15"/>
  <c r="G85" i="15"/>
  <c r="N65" i="15"/>
  <c r="N64" i="15"/>
  <c r="N57" i="15"/>
  <c r="O154" i="4"/>
  <c r="N84" i="15"/>
  <c r="O65" i="15"/>
  <c r="O64" i="15"/>
  <c r="O57" i="15"/>
  <c r="P154" i="4"/>
  <c r="O84" i="15"/>
  <c r="M65" i="15"/>
  <c r="M64" i="15"/>
  <c r="M57" i="15"/>
  <c r="M84" i="15"/>
  <c r="N154" i="4"/>
  <c r="J64" i="15"/>
  <c r="J65" i="15"/>
  <c r="J57" i="15"/>
  <c r="K114" i="4"/>
  <c r="J85" i="15"/>
  <c r="K65" i="15"/>
  <c r="K64" i="15"/>
  <c r="K57" i="15"/>
  <c r="H64" i="15"/>
  <c r="H65" i="15"/>
  <c r="H57" i="15"/>
  <c r="H88" i="15"/>
  <c r="H85" i="15"/>
  <c r="I114" i="4"/>
  <c r="I64" i="15"/>
  <c r="I65" i="15"/>
  <c r="I57" i="15"/>
  <c r="J154" i="4"/>
  <c r="I84" i="15"/>
  <c r="L65" i="15"/>
  <c r="L64" i="15"/>
  <c r="L57" i="15"/>
  <c r="M154" i="4"/>
  <c r="L84" i="15"/>
  <c r="Q154" i="4"/>
  <c r="P84" i="15"/>
  <c r="E169" i="10"/>
  <c r="P74" i="15"/>
  <c r="P72" i="15"/>
  <c r="Q35" i="4"/>
  <c r="P79" i="15"/>
  <c r="F84" i="15"/>
  <c r="K84" i="15"/>
  <c r="L154" i="4"/>
  <c r="F87" i="15"/>
  <c r="F74" i="15"/>
  <c r="F79" i="15"/>
  <c r="G79" i="15"/>
  <c r="G72" i="15"/>
  <c r="G74" i="15"/>
  <c r="H35" i="4"/>
  <c r="G87" i="15"/>
  <c r="L35" i="4"/>
  <c r="K79" i="15"/>
  <c r="K74" i="15"/>
  <c r="K72" i="15"/>
  <c r="F94" i="15"/>
  <c r="G40" i="4"/>
  <c r="G113" i="4"/>
  <c r="E105" i="15" l="1"/>
  <c r="F8" i="23"/>
  <c r="I91" i="16"/>
  <c r="H91" i="16"/>
  <c r="H92" i="16"/>
  <c r="I86" i="16"/>
  <c r="H104" i="16"/>
  <c r="H105" i="16" s="1"/>
  <c r="F104" i="16"/>
  <c r="F105" i="16" s="1"/>
  <c r="I93" i="16"/>
  <c r="G104" i="16"/>
  <c r="G105" i="16" s="1"/>
  <c r="I104" i="16"/>
  <c r="I105" i="16" s="1"/>
  <c r="H93" i="16"/>
  <c r="K210" i="10"/>
  <c r="L467" i="10"/>
  <c r="L468" i="10"/>
  <c r="L466" i="10"/>
  <c r="M461" i="10"/>
  <c r="M462" i="10"/>
  <c r="M459" i="10"/>
  <c r="K208" i="10"/>
  <c r="K209" i="10"/>
  <c r="K207" i="10"/>
  <c r="F111" i="16"/>
  <c r="F109" i="16"/>
  <c r="K7" i="21" s="1"/>
  <c r="F108" i="16"/>
  <c r="K6" i="21" s="1"/>
  <c r="F113" i="16"/>
  <c r="M460" i="10"/>
  <c r="H89" i="16"/>
  <c r="I89" i="16" s="1"/>
  <c r="H69" i="11"/>
  <c r="I92" i="16"/>
  <c r="Y12" i="8"/>
  <c r="Y28" i="8"/>
  <c r="Y17" i="8"/>
  <c r="Y10" i="8"/>
  <c r="Y20" i="8"/>
  <c r="Y18" i="8"/>
  <c r="Y24" i="8"/>
  <c r="Y23" i="8"/>
  <c r="Y15" i="8"/>
  <c r="Y30" i="8"/>
  <c r="Y25" i="8"/>
  <c r="Y27" i="8"/>
  <c r="Y22" i="8"/>
  <c r="Y16" i="8"/>
  <c r="Z8" i="8"/>
  <c r="Y32" i="8"/>
  <c r="Y29" i="8"/>
  <c r="Y26" i="8"/>
  <c r="G89" i="11"/>
  <c r="F89" i="11"/>
  <c r="E106" i="15"/>
  <c r="G55" i="11"/>
  <c r="F99" i="15"/>
  <c r="G99" i="15" s="1"/>
  <c r="E23" i="5"/>
  <c r="Y21" i="8"/>
  <c r="Y19" i="8"/>
  <c r="N53" i="15"/>
  <c r="O54" i="4"/>
  <c r="O46" i="4"/>
  <c r="O48" i="4"/>
  <c r="P37" i="4"/>
  <c r="O72" i="4"/>
  <c r="O52" i="4"/>
  <c r="E323" i="10"/>
  <c r="N37" i="4"/>
  <c r="M54" i="4"/>
  <c r="M46" i="4"/>
  <c r="M72" i="4"/>
  <c r="E321" i="10"/>
  <c r="M52" i="4"/>
  <c r="M48" i="4"/>
  <c r="L53" i="15"/>
  <c r="O53" i="15"/>
  <c r="P46" i="4"/>
  <c r="P54" i="4"/>
  <c r="P72" i="4"/>
  <c r="P48" i="4"/>
  <c r="P52" i="4"/>
  <c r="E324" i="10"/>
  <c r="Q37" i="4"/>
  <c r="I53" i="15"/>
  <c r="K37" i="4"/>
  <c r="E318" i="10"/>
  <c r="J46" i="4"/>
  <c r="J50" i="4"/>
  <c r="J54" i="4"/>
  <c r="J48" i="4"/>
  <c r="J52" i="4"/>
  <c r="E182" i="10"/>
  <c r="J72" i="4"/>
  <c r="I54" i="4"/>
  <c r="E60" i="10"/>
  <c r="E181" i="10"/>
  <c r="E201" i="10"/>
  <c r="E236" i="10"/>
  <c r="E266" i="10"/>
  <c r="E254" i="10"/>
  <c r="E154" i="10"/>
  <c r="E511" i="10" s="1"/>
  <c r="E317" i="10"/>
  <c r="I46" i="4"/>
  <c r="I50" i="4"/>
  <c r="I52" i="4"/>
  <c r="I72" i="4"/>
  <c r="J37" i="4"/>
  <c r="I48" i="4"/>
  <c r="H53" i="15"/>
  <c r="K50" i="4"/>
  <c r="L37" i="4"/>
  <c r="K46" i="4"/>
  <c r="E319" i="10"/>
  <c r="K48" i="4"/>
  <c r="E183" i="10"/>
  <c r="K72" i="4"/>
  <c r="K54" i="4"/>
  <c r="K52" i="4"/>
  <c r="J53" i="15"/>
  <c r="I90" i="16"/>
  <c r="M53" i="15"/>
  <c r="N54" i="4"/>
  <c r="N48" i="4"/>
  <c r="N46" i="4"/>
  <c r="O37" i="4"/>
  <c r="N72" i="4"/>
  <c r="E227" i="10"/>
  <c r="E226" i="10"/>
  <c r="N52" i="4"/>
  <c r="E322" i="10"/>
  <c r="P50" i="4"/>
  <c r="E256" i="10"/>
  <c r="E193" i="10"/>
  <c r="E159" i="10"/>
  <c r="E514" i="10" s="1"/>
  <c r="E239" i="10"/>
  <c r="E268" i="10"/>
  <c r="P52" i="15"/>
  <c r="P51" i="15"/>
  <c r="F52" i="15"/>
  <c r="F51" i="15"/>
  <c r="G51" i="15"/>
  <c r="G52" i="15"/>
  <c r="H115" i="4"/>
  <c r="H40" i="4"/>
  <c r="H113" i="4" s="1"/>
  <c r="N52" i="15"/>
  <c r="N51" i="15"/>
  <c r="O114" i="4"/>
  <c r="N85" i="15"/>
  <c r="O52" i="15"/>
  <c r="O51" i="15"/>
  <c r="P114" i="4"/>
  <c r="O85" i="15"/>
  <c r="M52" i="15"/>
  <c r="M51" i="15"/>
  <c r="N114" i="4"/>
  <c r="M85" i="15"/>
  <c r="J52" i="15"/>
  <c r="J51" i="15"/>
  <c r="K115" i="4"/>
  <c r="K52" i="15"/>
  <c r="K51" i="15"/>
  <c r="H52" i="15"/>
  <c r="H51" i="15"/>
  <c r="I40" i="4"/>
  <c r="I113" i="4" s="1"/>
  <c r="I115" i="4"/>
  <c r="I52" i="15"/>
  <c r="I51" i="15"/>
  <c r="J114" i="4"/>
  <c r="I85" i="15"/>
  <c r="L52" i="15"/>
  <c r="L51" i="15"/>
  <c r="M114" i="4"/>
  <c r="L85" i="15"/>
  <c r="Q114" i="4"/>
  <c r="P85" i="15"/>
  <c r="P53" i="15"/>
  <c r="Q46" i="4"/>
  <c r="Q48" i="4"/>
  <c r="Q52" i="4"/>
  <c r="Q72" i="4"/>
  <c r="Q54" i="4"/>
  <c r="F103" i="4"/>
  <c r="Q50" i="4"/>
  <c r="E170" i="10"/>
  <c r="E156" i="10"/>
  <c r="E513" i="10" s="1"/>
  <c r="E185" i="10"/>
  <c r="E238" i="10"/>
  <c r="E267" i="10"/>
  <c r="E202" i="10"/>
  <c r="E255" i="10"/>
  <c r="E325" i="10"/>
  <c r="E160" i="10"/>
  <c r="E515" i="10" s="1"/>
  <c r="E269" i="10"/>
  <c r="E240" i="10"/>
  <c r="E257" i="10"/>
  <c r="F88" i="15"/>
  <c r="F85" i="15"/>
  <c r="L114" i="4"/>
  <c r="K85" i="15"/>
  <c r="F53" i="15"/>
  <c r="G53" i="15"/>
  <c r="H54" i="4"/>
  <c r="E153" i="10"/>
  <c r="E510" i="10" s="1"/>
  <c r="H46" i="4"/>
  <c r="E36" i="10"/>
  <c r="H36" i="4"/>
  <c r="H48" i="4"/>
  <c r="H72" i="4"/>
  <c r="I37" i="4"/>
  <c r="H73" i="4"/>
  <c r="E59" i="10"/>
  <c r="E180" i="10"/>
  <c r="H50" i="4"/>
  <c r="H116" i="4" s="1"/>
  <c r="H52" i="4"/>
  <c r="E316" i="10"/>
  <c r="L46" i="4"/>
  <c r="F107" i="4"/>
  <c r="L54" i="4"/>
  <c r="F101" i="4"/>
  <c r="F102" i="4"/>
  <c r="E190" i="10"/>
  <c r="L48" i="4"/>
  <c r="L72" i="4"/>
  <c r="M37" i="4"/>
  <c r="E155" i="10"/>
  <c r="E512" i="10" s="1"/>
  <c r="E320" i="10"/>
  <c r="E184" i="10"/>
  <c r="L50" i="4"/>
  <c r="L52" i="4"/>
  <c r="K53" i="15"/>
  <c r="O50" i="4"/>
  <c r="N50" i="4"/>
  <c r="M50" i="4"/>
  <c r="I88" i="16"/>
  <c r="I87" i="16"/>
  <c r="O92" i="15"/>
  <c r="P92" i="15"/>
  <c r="M92" i="15"/>
  <c r="N92" i="15"/>
  <c r="K92" i="15"/>
  <c r="L92" i="15"/>
  <c r="I92" i="15"/>
  <c r="J92" i="15"/>
  <c r="G114" i="4"/>
  <c r="Y39" i="8" l="1"/>
  <c r="Y40" i="8"/>
  <c r="Y38" i="8"/>
  <c r="L207" i="10"/>
  <c r="L209" i="10"/>
  <c r="L208" i="10"/>
  <c r="L469" i="10"/>
  <c r="K69" i="21" s="1"/>
  <c r="F474" i="10"/>
  <c r="K71" i="21"/>
  <c r="M467" i="10"/>
  <c r="K72" i="21"/>
  <c r="M468" i="10"/>
  <c r="K70" i="21"/>
  <c r="M466" i="10"/>
  <c r="N461" i="10"/>
  <c r="E64" i="21" s="1"/>
  <c r="O461" i="10"/>
  <c r="F64" i="21" s="1"/>
  <c r="N462" i="10"/>
  <c r="E65" i="21" s="1"/>
  <c r="O462" i="10"/>
  <c r="F65" i="21" s="1"/>
  <c r="N459" i="10"/>
  <c r="E62" i="21" s="1"/>
  <c r="O459" i="10"/>
  <c r="G10" i="19"/>
  <c r="G15" i="21"/>
  <c r="F15" i="21"/>
  <c r="E15" i="21"/>
  <c r="G15" i="19" s="1"/>
  <c r="H15" i="19" s="1"/>
  <c r="K9" i="21"/>
  <c r="H10" i="19" s="1"/>
  <c r="F10" i="19"/>
  <c r="G14" i="21"/>
  <c r="F13" i="21"/>
  <c r="D16" i="19" s="1"/>
  <c r="F18" i="21"/>
  <c r="E18" i="21"/>
  <c r="F14" i="21"/>
  <c r="E14" i="21"/>
  <c r="N460" i="10"/>
  <c r="E63" i="21" s="1"/>
  <c r="O460" i="10"/>
  <c r="F63" i="21" s="1"/>
  <c r="Y44" i="8"/>
  <c r="Z9" i="8"/>
  <c r="Z18" i="8" s="1"/>
  <c r="Z11" i="8"/>
  <c r="Y45" i="8"/>
  <c r="F55" i="11"/>
  <c r="E499" i="10"/>
  <c r="E51" i="5"/>
  <c r="M47" i="4"/>
  <c r="O45" i="4"/>
  <c r="O47" i="4"/>
  <c r="O51" i="4"/>
  <c r="N36" i="4"/>
  <c r="N73" i="4"/>
  <c r="M45" i="4"/>
  <c r="M51" i="4"/>
  <c r="P45" i="4"/>
  <c r="O149" i="4"/>
  <c r="M149" i="4"/>
  <c r="P73" i="4"/>
  <c r="P36" i="4"/>
  <c r="P47" i="4"/>
  <c r="P51" i="4"/>
  <c r="Q36" i="4"/>
  <c r="Q73" i="4"/>
  <c r="O73" i="4"/>
  <c r="O36" i="4"/>
  <c r="G70" i="11"/>
  <c r="N149" i="4"/>
  <c r="K36" i="4"/>
  <c r="K73" i="4"/>
  <c r="J45" i="4"/>
  <c r="J149" i="4"/>
  <c r="J49" i="4"/>
  <c r="J47" i="4"/>
  <c r="J51" i="4"/>
  <c r="I45" i="4"/>
  <c r="I149" i="4"/>
  <c r="I116" i="4"/>
  <c r="I49" i="4"/>
  <c r="I51" i="4"/>
  <c r="J73" i="4"/>
  <c r="J36" i="4"/>
  <c r="I47" i="4"/>
  <c r="K116" i="4"/>
  <c r="K49" i="4"/>
  <c r="L73" i="4"/>
  <c r="L36" i="4"/>
  <c r="K45" i="4"/>
  <c r="K149" i="4"/>
  <c r="K47" i="4"/>
  <c r="K51" i="4"/>
  <c r="N47" i="4"/>
  <c r="N45" i="4"/>
  <c r="N51" i="4"/>
  <c r="P49" i="4"/>
  <c r="P149" i="4"/>
  <c r="E172" i="10"/>
  <c r="E171" i="10"/>
  <c r="H39" i="4"/>
  <c r="O116" i="4"/>
  <c r="O115" i="4"/>
  <c r="P115" i="4"/>
  <c r="P116" i="4"/>
  <c r="N116" i="4"/>
  <c r="N115" i="4"/>
  <c r="I39" i="4"/>
  <c r="J115" i="4"/>
  <c r="J116" i="4"/>
  <c r="M116" i="4"/>
  <c r="M115" i="4"/>
  <c r="Q116" i="4"/>
  <c r="Q115" i="4"/>
  <c r="E162" i="10"/>
  <c r="E259" i="10"/>
  <c r="E243" i="10"/>
  <c r="E271" i="10"/>
  <c r="E203" i="10"/>
  <c r="E173" i="10"/>
  <c r="Q149" i="4"/>
  <c r="Q45" i="4"/>
  <c r="Q47" i="4"/>
  <c r="Q51" i="4"/>
  <c r="E24" i="10"/>
  <c r="F85" i="9"/>
  <c r="Q49" i="4"/>
  <c r="N65" i="10" s="1"/>
  <c r="G105" i="11" s="1"/>
  <c r="F105" i="11" s="1"/>
  <c r="L116" i="4"/>
  <c r="L115" i="4"/>
  <c r="H149" i="4"/>
  <c r="H45" i="4"/>
  <c r="E55" i="9"/>
  <c r="K31" i="9"/>
  <c r="H47" i="4"/>
  <c r="I36" i="4"/>
  <c r="I73" i="4"/>
  <c r="H49" i="4"/>
  <c r="H51" i="4"/>
  <c r="L45" i="4"/>
  <c r="L149" i="4"/>
  <c r="F86" i="9"/>
  <c r="E23" i="10"/>
  <c r="I31" i="9"/>
  <c r="G65" i="10"/>
  <c r="H31" i="9"/>
  <c r="G55" i="9"/>
  <c r="F84" i="9"/>
  <c r="E61" i="10"/>
  <c r="E237" i="10"/>
  <c r="E21" i="10"/>
  <c r="F55" i="9"/>
  <c r="E22" i="10"/>
  <c r="F65" i="10"/>
  <c r="G31" i="9"/>
  <c r="L47" i="4"/>
  <c r="M36" i="4"/>
  <c r="M73" i="4"/>
  <c r="L49" i="4"/>
  <c r="L51" i="4"/>
  <c r="O49" i="4"/>
  <c r="N49" i="4"/>
  <c r="M49" i="4"/>
  <c r="G69" i="11"/>
  <c r="P86" i="15"/>
  <c r="Q164" i="4"/>
  <c r="O86" i="15"/>
  <c r="P164" i="4"/>
  <c r="N86" i="15"/>
  <c r="O164" i="4"/>
  <c r="M86" i="15"/>
  <c r="N164" i="4"/>
  <c r="L86" i="15"/>
  <c r="M164" i="4"/>
  <c r="K86" i="15"/>
  <c r="L164" i="4"/>
  <c r="J86" i="15"/>
  <c r="K164" i="4"/>
  <c r="I86" i="15"/>
  <c r="J164" i="4"/>
  <c r="G115" i="4"/>
  <c r="G116" i="4"/>
  <c r="F62" i="21" l="1"/>
  <c r="G474" i="10"/>
  <c r="F83" i="21" s="1"/>
  <c r="F15" i="19"/>
  <c r="E13" i="21"/>
  <c r="E83" i="21"/>
  <c r="H474" i="10"/>
  <c r="Z23" i="8"/>
  <c r="Z15" i="8"/>
  <c r="Z27" i="8"/>
  <c r="Z32" i="8"/>
  <c r="Z29" i="8"/>
  <c r="Z28" i="8"/>
  <c r="Z24" i="8"/>
  <c r="Z10" i="8"/>
  <c r="Z30" i="8"/>
  <c r="Z25" i="8"/>
  <c r="Z12" i="8"/>
  <c r="Z20" i="8"/>
  <c r="Z26" i="8"/>
  <c r="Z22" i="8"/>
  <c r="Z16" i="8"/>
  <c r="Z17" i="8"/>
  <c r="AA8" i="8"/>
  <c r="Z19" i="8"/>
  <c r="I99" i="5"/>
  <c r="F99" i="5"/>
  <c r="H99" i="5"/>
  <c r="J99" i="5"/>
  <c r="G99" i="5"/>
  <c r="E219" i="10"/>
  <c r="G71" i="11"/>
  <c r="F70" i="11"/>
  <c r="E186" i="10"/>
  <c r="E187" i="10"/>
  <c r="E188" i="10"/>
  <c r="G54" i="11"/>
  <c r="E242" i="10"/>
  <c r="E272" i="10"/>
  <c r="E260" i="10"/>
  <c r="E195" i="10"/>
  <c r="E174" i="10"/>
  <c r="E48" i="10"/>
  <c r="G56" i="11"/>
  <c r="E189" i="10"/>
  <c r="F69" i="11"/>
  <c r="Q165" i="4"/>
  <c r="Q166" i="4" s="1"/>
  <c r="E335" i="10"/>
  <c r="P165" i="4"/>
  <c r="P166" i="4" s="1"/>
  <c r="E334" i="10"/>
  <c r="O165" i="4"/>
  <c r="O166" i="4" s="1"/>
  <c r="E333" i="10"/>
  <c r="N165" i="4"/>
  <c r="N166" i="4" s="1"/>
  <c r="E332" i="10"/>
  <c r="M165" i="4"/>
  <c r="M166" i="4" s="1"/>
  <c r="E331" i="10"/>
  <c r="L165" i="4"/>
  <c r="L166" i="4" s="1"/>
  <c r="E330" i="10"/>
  <c r="K165" i="4"/>
  <c r="K166" i="4" s="1"/>
  <c r="E329" i="10"/>
  <c r="J165" i="4"/>
  <c r="J166" i="4" s="1"/>
  <c r="E328" i="10"/>
  <c r="P88" i="15"/>
  <c r="P87" i="15"/>
  <c r="O87" i="15"/>
  <c r="O88" i="15"/>
  <c r="N88" i="15"/>
  <c r="N87" i="15"/>
  <c r="M88" i="15"/>
  <c r="M87" i="15"/>
  <c r="L88" i="15"/>
  <c r="L87" i="15"/>
  <c r="K87" i="15"/>
  <c r="K88" i="15"/>
  <c r="J88" i="15"/>
  <c r="J87" i="15"/>
  <c r="I87" i="15"/>
  <c r="I88" i="15"/>
  <c r="Z40" i="8" l="1"/>
  <c r="Z39" i="8"/>
  <c r="Z38" i="8"/>
  <c r="Z21" i="8"/>
  <c r="Z45" i="8" s="1"/>
  <c r="Z44" i="8"/>
  <c r="AA11" i="8"/>
  <c r="AA9" i="8"/>
  <c r="F116" i="5"/>
  <c r="F71" i="11"/>
  <c r="F54" i="11"/>
  <c r="L65" i="10"/>
  <c r="K75" i="10"/>
  <c r="J65" i="10"/>
  <c r="K85" i="10"/>
  <c r="F56" i="11"/>
  <c r="E345" i="10"/>
  <c r="E344" i="10"/>
  <c r="E343" i="10"/>
  <c r="E342" i="10"/>
  <c r="E341" i="10"/>
  <c r="E340" i="10"/>
  <c r="E339" i="10"/>
  <c r="E338" i="10"/>
  <c r="E355" i="10"/>
  <c r="Q40" i="4"/>
  <c r="E354" i="10"/>
  <c r="P40" i="4"/>
  <c r="E353" i="10"/>
  <c r="O40" i="4"/>
  <c r="E352" i="10"/>
  <c r="N40" i="4"/>
  <c r="N39" i="4" s="1"/>
  <c r="E351" i="10"/>
  <c r="M40" i="4"/>
  <c r="E350" i="10"/>
  <c r="L40" i="4"/>
  <c r="E349" i="10"/>
  <c r="K40" i="4"/>
  <c r="E348" i="10"/>
  <c r="J40" i="4"/>
  <c r="E244" i="10"/>
  <c r="E163" i="10"/>
  <c r="AA24" i="8" l="1"/>
  <c r="AA28" i="8"/>
  <c r="AA12" i="8"/>
  <c r="AA18" i="8"/>
  <c r="AA32" i="8"/>
  <c r="AA23" i="8"/>
  <c r="AA26" i="8"/>
  <c r="AA15" i="8"/>
  <c r="AA22" i="8"/>
  <c r="AA25" i="8"/>
  <c r="AA27" i="8"/>
  <c r="AA38" i="8" s="1"/>
  <c r="AA29" i="8"/>
  <c r="AA39" i="8" s="1"/>
  <c r="AA16" i="8"/>
  <c r="AA30" i="8"/>
  <c r="AA17" i="8"/>
  <c r="AA10" i="8"/>
  <c r="AB8" i="8"/>
  <c r="AA20" i="8"/>
  <c r="AA21" i="8" s="1"/>
  <c r="G116" i="5"/>
  <c r="F117" i="5"/>
  <c r="Q39" i="4"/>
  <c r="Q113" i="4"/>
  <c r="M65" i="10"/>
  <c r="L85" i="10"/>
  <c r="L75" i="10"/>
  <c r="I65" i="10"/>
  <c r="J85" i="10"/>
  <c r="J75" i="10"/>
  <c r="P113" i="4"/>
  <c r="P39" i="4"/>
  <c r="O113" i="4"/>
  <c r="O39" i="4"/>
  <c r="N113" i="4"/>
  <c r="M39" i="4"/>
  <c r="M113" i="4"/>
  <c r="L113" i="4"/>
  <c r="L39" i="4"/>
  <c r="K39" i="4"/>
  <c r="K113" i="4"/>
  <c r="J113" i="4"/>
  <c r="J39" i="4"/>
  <c r="AA40" i="8" l="1"/>
  <c r="AA19" i="8"/>
  <c r="AA45" i="8" s="1"/>
  <c r="AA44" i="8"/>
  <c r="AB9" i="8"/>
  <c r="AB18" i="8" s="1"/>
  <c r="AB11" i="8"/>
  <c r="H116" i="5"/>
  <c r="H117" i="5" s="1"/>
  <c r="G117" i="5"/>
  <c r="M75" i="10"/>
  <c r="M85" i="10"/>
  <c r="I85" i="10"/>
  <c r="I75" i="10"/>
  <c r="AB32" i="8" l="1"/>
  <c r="AB23" i="8"/>
  <c r="AB27" i="8"/>
  <c r="AB22" i="8"/>
  <c r="AB25" i="8"/>
  <c r="AB24" i="8"/>
  <c r="AB30" i="8"/>
  <c r="AC8" i="8"/>
  <c r="AB17" i="8"/>
  <c r="AB26" i="8"/>
  <c r="AB16" i="8"/>
  <c r="AB15" i="8"/>
  <c r="AB29" i="8"/>
  <c r="AB10" i="8"/>
  <c r="AB12" i="8"/>
  <c r="AB28" i="8"/>
  <c r="AB20" i="8"/>
  <c r="AB19" i="8"/>
  <c r="I116" i="5"/>
  <c r="AB40" i="8" l="1"/>
  <c r="AB39" i="8"/>
  <c r="AB44" i="8"/>
  <c r="AB21" i="8"/>
  <c r="AB45" i="8" s="1"/>
  <c r="AB38" i="8"/>
  <c r="AC11" i="8"/>
  <c r="AC9" i="8"/>
  <c r="I117" i="5"/>
  <c r="J116" i="5"/>
  <c r="K116" i="5" s="1"/>
  <c r="AC32" i="8" l="1"/>
  <c r="AC26" i="8"/>
  <c r="AC27" i="8"/>
  <c r="AC23" i="8"/>
  <c r="AC29" i="8"/>
  <c r="AC15" i="8"/>
  <c r="AC24" i="8"/>
  <c r="AC28" i="8"/>
  <c r="AC17" i="8"/>
  <c r="AC10" i="8"/>
  <c r="AC25" i="8"/>
  <c r="AC16" i="8"/>
  <c r="AC30" i="8"/>
  <c r="AC20" i="8"/>
  <c r="AC21" i="8" s="1"/>
  <c r="AC18" i="8"/>
  <c r="AC22" i="8"/>
  <c r="AD8" i="8"/>
  <c r="AC12" i="8"/>
  <c r="J117" i="5"/>
  <c r="K117" i="5"/>
  <c r="L116" i="5"/>
  <c r="AC39" i="8" l="1"/>
  <c r="AC40" i="8"/>
  <c r="AC38" i="8"/>
  <c r="AC44" i="8"/>
  <c r="AC19" i="8"/>
  <c r="AC45" i="8" s="1"/>
  <c r="AD11" i="8"/>
  <c r="AD9" i="8"/>
  <c r="AD30" i="8" s="1"/>
  <c r="L117" i="5"/>
  <c r="M116" i="5"/>
  <c r="AD18" i="8" l="1"/>
  <c r="AD12" i="8"/>
  <c r="AD32" i="8"/>
  <c r="AD10" i="8"/>
  <c r="AD23" i="8"/>
  <c r="AD26" i="8"/>
  <c r="AD27" i="8"/>
  <c r="AD15" i="8"/>
  <c r="AD22" i="8"/>
  <c r="AD16" i="8"/>
  <c r="AD28" i="8"/>
  <c r="AD29" i="8"/>
  <c r="AD39" i="8" s="1"/>
  <c r="AD25" i="8"/>
  <c r="AD24" i="8"/>
  <c r="AD17" i="8"/>
  <c r="AE8" i="8"/>
  <c r="AD20" i="8"/>
  <c r="AD21" i="8" s="1"/>
  <c r="M117" i="5"/>
  <c r="N116" i="5"/>
  <c r="AD38" i="8" l="1"/>
  <c r="AD40" i="8"/>
  <c r="AE11" i="8"/>
  <c r="AE9" i="8"/>
  <c r="AD19" i="8"/>
  <c r="AD45" i="8" s="1"/>
  <c r="AD44" i="8"/>
  <c r="N117" i="5"/>
  <c r="O116" i="5"/>
  <c r="AE20" i="8" l="1"/>
  <c r="AE21" i="8" s="1"/>
  <c r="AE12" i="8"/>
  <c r="AE32" i="8"/>
  <c r="AE22" i="8"/>
  <c r="AE23" i="8"/>
  <c r="AE26" i="8"/>
  <c r="AE27" i="8"/>
  <c r="AE25" i="8"/>
  <c r="AE28" i="8"/>
  <c r="AE16" i="8"/>
  <c r="AE24" i="8"/>
  <c r="AE15" i="8"/>
  <c r="AE29" i="8"/>
  <c r="AE30" i="8"/>
  <c r="AE17" i="8"/>
  <c r="AE10" i="8"/>
  <c r="AF8" i="8"/>
  <c r="AE18" i="8"/>
  <c r="O117" i="5"/>
  <c r="AE39" i="8" l="1"/>
  <c r="AE38" i="8"/>
  <c r="AE40" i="8"/>
  <c r="AF11" i="8"/>
  <c r="AF9" i="8"/>
  <c r="AE19" i="8"/>
  <c r="AE45" i="8" s="1"/>
  <c r="AE44" i="8"/>
  <c r="AF23" i="8" l="1"/>
  <c r="AG23" i="8" s="1"/>
  <c r="AF32" i="8"/>
  <c r="AG32" i="8" s="1"/>
  <c r="AF26" i="8"/>
  <c r="AG26" i="8" s="1"/>
  <c r="AF15" i="8"/>
  <c r="AG15" i="8" s="1"/>
  <c r="AF22" i="8"/>
  <c r="AF24" i="8"/>
  <c r="AF25" i="8"/>
  <c r="AG25" i="8" s="1"/>
  <c r="AF28" i="8"/>
  <c r="AG28" i="8" s="1"/>
  <c r="AF29" i="8"/>
  <c r="AF27" i="8"/>
  <c r="AF16" i="8"/>
  <c r="AG16" i="8" s="1"/>
  <c r="AF30" i="8"/>
  <c r="AG30" i="8" s="1"/>
  <c r="AF17" i="8"/>
  <c r="AG17" i="8" s="1"/>
  <c r="AF10" i="8"/>
  <c r="AF20" i="8"/>
  <c r="AF18" i="8"/>
  <c r="AF12" i="8"/>
  <c r="AG20" i="8" l="1"/>
  <c r="AH20" i="8" s="1"/>
  <c r="AF21" i="8"/>
  <c r="AG21" i="8" s="1"/>
  <c r="AF19" i="8"/>
  <c r="AF44" i="8"/>
  <c r="AG18" i="8"/>
  <c r="F31" i="8"/>
  <c r="AG22" i="8"/>
  <c r="AH22" i="8" s="1"/>
  <c r="AG24" i="8"/>
  <c r="AF40" i="8"/>
  <c r="AG29" i="8"/>
  <c r="AF39" i="8"/>
  <c r="AF38" i="8"/>
  <c r="AG27" i="8"/>
  <c r="AH32" i="8"/>
  <c r="AH23" i="8"/>
  <c r="AH26" i="8"/>
  <c r="AH25" i="8"/>
  <c r="AH28" i="8"/>
  <c r="AH16" i="8"/>
  <c r="AH30" i="8"/>
  <c r="AH17" i="8"/>
  <c r="AH15" i="8"/>
  <c r="AF45" i="8" l="1"/>
  <c r="AG19" i="8"/>
  <c r="AG44" i="8"/>
  <c r="AH18" i="8"/>
  <c r="S31" i="8"/>
  <c r="S37" i="8" s="1"/>
  <c r="Y31" i="8"/>
  <c r="Y37" i="8" s="1"/>
  <c r="W31" i="8"/>
  <c r="W37" i="8" s="1"/>
  <c r="U31" i="8"/>
  <c r="U37" i="8" s="1"/>
  <c r="F37" i="8"/>
  <c r="X31" i="8"/>
  <c r="X37" i="8" s="1"/>
  <c r="F33" i="8"/>
  <c r="N31" i="8"/>
  <c r="N37" i="8" s="1"/>
  <c r="O31" i="8"/>
  <c r="O37" i="8" s="1"/>
  <c r="R31" i="8"/>
  <c r="R37" i="8" s="1"/>
  <c r="L31" i="8"/>
  <c r="M31" i="8"/>
  <c r="M37" i="8" s="1"/>
  <c r="P31" i="8"/>
  <c r="P37" i="8" s="1"/>
  <c r="AE31" i="8"/>
  <c r="AE37" i="8" s="1"/>
  <c r="AC31" i="8"/>
  <c r="AC37" i="8" s="1"/>
  <c r="AB31" i="8"/>
  <c r="AB37" i="8" s="1"/>
  <c r="Z31" i="8"/>
  <c r="Z37" i="8" s="1"/>
  <c r="Q31" i="8"/>
  <c r="Q37" i="8" s="1"/>
  <c r="T31" i="8"/>
  <c r="T37" i="8" s="1"/>
  <c r="AF31" i="8"/>
  <c r="AF37" i="8" s="1"/>
  <c r="AD31" i="8"/>
  <c r="AD37" i="8" s="1"/>
  <c r="AA31" i="8"/>
  <c r="AA37" i="8" s="1"/>
  <c r="V31" i="8"/>
  <c r="V37" i="8" s="1"/>
  <c r="AH24" i="8"/>
  <c r="AG40" i="8"/>
  <c r="AH29" i="8"/>
  <c r="AG39" i="8"/>
  <c r="AH27" i="8"/>
  <c r="AG38" i="8"/>
  <c r="AH21" i="8"/>
  <c r="AH19" i="8" l="1"/>
  <c r="AG45" i="8"/>
  <c r="AF33" i="8"/>
  <c r="AE33" i="8"/>
  <c r="AD33" i="8"/>
  <c r="AC33" i="8"/>
  <c r="AB33" i="8"/>
  <c r="AA33" i="8"/>
  <c r="Z33" i="8"/>
  <c r="Y33" i="8"/>
  <c r="X33" i="8"/>
  <c r="W33" i="8"/>
  <c r="V33" i="8"/>
  <c r="U33" i="8"/>
  <c r="F41" i="8"/>
  <c r="N33" i="8"/>
  <c r="O33" i="8"/>
  <c r="M33" i="8"/>
  <c r="P33" i="8"/>
  <c r="S33" i="8"/>
  <c r="L33" i="8"/>
  <c r="R33" i="8"/>
  <c r="Q33" i="8"/>
  <c r="F34" i="8"/>
  <c r="T33" i="8"/>
  <c r="AG31" i="8"/>
  <c r="L37" i="8"/>
  <c r="G46" i="11" l="1"/>
  <c r="F46" i="11"/>
  <c r="V34" i="8"/>
  <c r="V41" i="8"/>
  <c r="M41" i="8"/>
  <c r="M34" i="8"/>
  <c r="AF41" i="8"/>
  <c r="AF43" i="8" s="1"/>
  <c r="AF34" i="8"/>
  <c r="AE34" i="8"/>
  <c r="AE41" i="8"/>
  <c r="AE43" i="8" s="1"/>
  <c r="AD41" i="8"/>
  <c r="AD43" i="8" s="1"/>
  <c r="AD34" i="8"/>
  <c r="AC41" i="8"/>
  <c r="AC43" i="8" s="1"/>
  <c r="AC34" i="8"/>
  <c r="AB41" i="8"/>
  <c r="AB43" i="8" s="1"/>
  <c r="AB34" i="8"/>
  <c r="X41" i="8"/>
  <c r="X43" i="8" s="1"/>
  <c r="X34" i="8"/>
  <c r="G42" i="11"/>
  <c r="F42" i="11"/>
  <c r="AG37" i="8"/>
  <c r="AH31" i="8"/>
  <c r="Y41" i="8"/>
  <c r="Y43" i="8" s="1"/>
  <c r="Y34" i="8"/>
  <c r="U41" i="8"/>
  <c r="U34" i="8"/>
  <c r="N41" i="8"/>
  <c r="N34" i="8"/>
  <c r="O41" i="8"/>
  <c r="O34" i="8"/>
  <c r="P41" i="8"/>
  <c r="P34" i="8"/>
  <c r="L34" i="8"/>
  <c r="L41" i="8"/>
  <c r="L43" i="8" s="1"/>
  <c r="AG33" i="8"/>
  <c r="R41" i="8"/>
  <c r="R34" i="8"/>
  <c r="AA41" i="8"/>
  <c r="AA43" i="8" s="1"/>
  <c r="AA34" i="8"/>
  <c r="Z41" i="8"/>
  <c r="Z43" i="8" s="1"/>
  <c r="Z34" i="8"/>
  <c r="W41" i="8"/>
  <c r="W34" i="8"/>
  <c r="S41" i="8"/>
  <c r="S34" i="8"/>
  <c r="Q34" i="8"/>
  <c r="Q41" i="8"/>
  <c r="T41" i="8"/>
  <c r="T34" i="8"/>
  <c r="O43" i="8" l="1"/>
  <c r="I41" i="4"/>
  <c r="F76" i="8"/>
  <c r="H76" i="8" s="1"/>
  <c r="J41" i="4"/>
  <c r="E378" i="10" s="1"/>
  <c r="P43" i="8"/>
  <c r="V43" i="8"/>
  <c r="P41" i="4"/>
  <c r="M43" i="8"/>
  <c r="G41" i="4"/>
  <c r="R43" i="8"/>
  <c r="L41" i="4"/>
  <c r="H41" i="4"/>
  <c r="N43" i="8"/>
  <c r="U43" i="8"/>
  <c r="O41" i="4"/>
  <c r="AH33" i="8"/>
  <c r="AG41" i="8"/>
  <c r="AG43" i="8" s="1"/>
  <c r="AG34" i="8"/>
  <c r="W43" i="8"/>
  <c r="Q41" i="4"/>
  <c r="M41" i="4"/>
  <c r="S43" i="8"/>
  <c r="F75" i="8"/>
  <c r="H75" i="8" s="1"/>
  <c r="F28" i="11" s="1"/>
  <c r="E69" i="5"/>
  <c r="Q43" i="8"/>
  <c r="K41" i="4"/>
  <c r="G79" i="11"/>
  <c r="F79" i="11"/>
  <c r="T43" i="8"/>
  <c r="N41" i="4"/>
  <c r="I123" i="4" l="1"/>
  <c r="I125" i="4" s="1"/>
  <c r="I175" i="4"/>
  <c r="E377" i="10"/>
  <c r="I167" i="4"/>
  <c r="I168" i="4" s="1"/>
  <c r="I124" i="4"/>
  <c r="I122" i="4"/>
  <c r="I172" i="4"/>
  <c r="E387" i="10" s="1"/>
  <c r="J175" i="4"/>
  <c r="J124" i="4"/>
  <c r="J172" i="4"/>
  <c r="E388" i="10" s="1"/>
  <c r="J123" i="4"/>
  <c r="J125" i="4" s="1"/>
  <c r="J167" i="4"/>
  <c r="J168" i="4" s="1"/>
  <c r="J122" i="4"/>
  <c r="P123" i="4"/>
  <c r="P125" i="4" s="1"/>
  <c r="E384" i="10"/>
  <c r="P175" i="4"/>
  <c r="L172" i="4"/>
  <c r="E390" i="10" s="1"/>
  <c r="L175" i="4"/>
  <c r="E380" i="10"/>
  <c r="L167" i="4"/>
  <c r="L168" i="4" s="1"/>
  <c r="L123" i="4"/>
  <c r="L125" i="4" s="1"/>
  <c r="L122" i="4"/>
  <c r="L124" i="4"/>
  <c r="P167" i="4"/>
  <c r="P168" i="4" s="1"/>
  <c r="P172" i="4"/>
  <c r="E394" i="10" s="1"/>
  <c r="P122" i="4"/>
  <c r="P124" i="4"/>
  <c r="G123" i="4"/>
  <c r="G125" i="4" s="1"/>
  <c r="G122" i="4"/>
  <c r="G124" i="4"/>
  <c r="G42" i="4"/>
  <c r="H172" i="4"/>
  <c r="E386" i="10" s="1"/>
  <c r="H170" i="4"/>
  <c r="H175" i="4"/>
  <c r="H167" i="4"/>
  <c r="H168" i="4" s="1"/>
  <c r="E376" i="10"/>
  <c r="H123" i="4"/>
  <c r="E40" i="10"/>
  <c r="H122" i="4"/>
  <c r="H124" i="4"/>
  <c r="O172" i="4"/>
  <c r="E393" i="10" s="1"/>
  <c r="O175" i="4"/>
  <c r="O167" i="4"/>
  <c r="O168" i="4" s="1"/>
  <c r="E383" i="10"/>
  <c r="O123" i="4"/>
  <c r="O125" i="4" s="1"/>
  <c r="O124" i="4"/>
  <c r="O122" i="4"/>
  <c r="F78" i="11"/>
  <c r="G78" i="11"/>
  <c r="Q123" i="4"/>
  <c r="Q125" i="4" s="1"/>
  <c r="Q175" i="4"/>
  <c r="E385" i="10"/>
  <c r="Q167" i="4"/>
  <c r="Q168" i="4" s="1"/>
  <c r="Q172" i="4"/>
  <c r="E395" i="10" s="1"/>
  <c r="Q124" i="4"/>
  <c r="Q122" i="4"/>
  <c r="E381" i="10"/>
  <c r="M123" i="4"/>
  <c r="M125" i="4" s="1"/>
  <c r="M172" i="4"/>
  <c r="E391" i="10" s="1"/>
  <c r="M175" i="4"/>
  <c r="M167" i="4"/>
  <c r="M168" i="4" s="1"/>
  <c r="M124" i="4"/>
  <c r="M122" i="4"/>
  <c r="E67" i="5"/>
  <c r="E68" i="5"/>
  <c r="K123" i="4"/>
  <c r="K125" i="4" s="1"/>
  <c r="K175" i="4"/>
  <c r="E379" i="10"/>
  <c r="K167" i="4"/>
  <c r="K168" i="4" s="1"/>
  <c r="K172" i="4"/>
  <c r="E389" i="10" s="1"/>
  <c r="K124" i="4"/>
  <c r="K122" i="4"/>
  <c r="N123" i="4"/>
  <c r="N125" i="4" s="1"/>
  <c r="N175" i="4"/>
  <c r="E382" i="10"/>
  <c r="N167" i="4"/>
  <c r="N168" i="4" s="1"/>
  <c r="N172" i="4"/>
  <c r="E392" i="10" s="1"/>
  <c r="N124" i="4"/>
  <c r="N122" i="4"/>
  <c r="F29" i="11"/>
  <c r="G29" i="11"/>
  <c r="G28" i="11"/>
  <c r="I43" i="4" l="1"/>
  <c r="E437" i="10" s="1"/>
  <c r="I176" i="4"/>
  <c r="J43" i="4"/>
  <c r="E438" i="10" s="1"/>
  <c r="J176" i="4"/>
  <c r="P176" i="4"/>
  <c r="P43" i="4"/>
  <c r="E444" i="10" s="1"/>
  <c r="L176" i="4"/>
  <c r="L43" i="4"/>
  <c r="E440" i="10" s="1"/>
  <c r="G117" i="4"/>
  <c r="F137" i="4"/>
  <c r="E43" i="10" s="1"/>
  <c r="G43" i="4"/>
  <c r="G126" i="4" s="1"/>
  <c r="G58" i="4"/>
  <c r="H171" i="4"/>
  <c r="E396" i="10" s="1"/>
  <c r="I170" i="4"/>
  <c r="H176" i="4"/>
  <c r="H43" i="4"/>
  <c r="E436" i="10" s="1"/>
  <c r="H125" i="4"/>
  <c r="E39" i="10"/>
  <c r="E47" i="10"/>
  <c r="E165" i="10"/>
  <c r="O43" i="4"/>
  <c r="E443" i="10" s="1"/>
  <c r="O176" i="4"/>
  <c r="Q43" i="4"/>
  <c r="E445" i="10" s="1"/>
  <c r="Q176" i="4"/>
  <c r="M176" i="4"/>
  <c r="M43" i="4"/>
  <c r="E441" i="10" s="1"/>
  <c r="K176" i="4"/>
  <c r="K43" i="4"/>
  <c r="E439" i="10" s="1"/>
  <c r="N176" i="4"/>
  <c r="N43" i="4"/>
  <c r="E442" i="10" s="1"/>
  <c r="Q169" i="4"/>
  <c r="E365" i="10"/>
  <c r="P169" i="4"/>
  <c r="E364" i="10"/>
  <c r="N169" i="4"/>
  <c r="E362" i="10"/>
  <c r="M169" i="4"/>
  <c r="E361" i="10"/>
  <c r="L169" i="4"/>
  <c r="E360" i="10"/>
  <c r="O169" i="4"/>
  <c r="E363" i="10"/>
  <c r="K169" i="4"/>
  <c r="E359" i="10"/>
  <c r="J169" i="4"/>
  <c r="E358" i="10"/>
  <c r="I169" i="4"/>
  <c r="E357" i="10"/>
  <c r="H169" i="4"/>
  <c r="E356" i="10"/>
  <c r="G120" i="4" l="1"/>
  <c r="G121" i="4" s="1"/>
  <c r="G118" i="4"/>
  <c r="G119" i="4" s="1"/>
  <c r="G59" i="4"/>
  <c r="G129" i="4"/>
  <c r="G130" i="4" s="1"/>
  <c r="G62" i="4"/>
  <c r="G64" i="4" s="1"/>
  <c r="G67" i="4" s="1"/>
  <c r="F138" i="4"/>
  <c r="H173" i="4"/>
  <c r="H174" i="4"/>
  <c r="E416" i="10" s="1"/>
  <c r="I171" i="4"/>
  <c r="J170" i="4"/>
  <c r="E375" i="10"/>
  <c r="E374" i="10"/>
  <c r="E372" i="10"/>
  <c r="E371" i="10"/>
  <c r="E370" i="10"/>
  <c r="E367" i="10"/>
  <c r="E366" i="10"/>
  <c r="E373" i="10"/>
  <c r="E369" i="10"/>
  <c r="E368" i="10"/>
  <c r="I126" i="4"/>
  <c r="H126" i="4"/>
  <c r="H42" i="4" l="1"/>
  <c r="E426" i="10" s="1"/>
  <c r="E406" i="10"/>
  <c r="E397" i="10"/>
  <c r="I174" i="4"/>
  <c r="E417" i="10" s="1"/>
  <c r="I173" i="4"/>
  <c r="J171" i="4"/>
  <c r="E398" i="10" s="1"/>
  <c r="K170" i="4"/>
  <c r="G65" i="4"/>
  <c r="H66" i="4"/>
  <c r="G68" i="4"/>
  <c r="E407" i="10" l="1"/>
  <c r="I42" i="4"/>
  <c r="H117" i="4"/>
  <c r="E37" i="10" s="1"/>
  <c r="H58" i="4"/>
  <c r="J174" i="4"/>
  <c r="E418" i="10" s="1"/>
  <c r="J173" i="4"/>
  <c r="K171" i="4"/>
  <c r="K173" i="4" s="1"/>
  <c r="L170" i="4"/>
  <c r="H63" i="4"/>
  <c r="G69" i="4"/>
  <c r="K126" i="4"/>
  <c r="J126" i="4"/>
  <c r="E427" i="10" l="1"/>
  <c r="I117" i="4"/>
  <c r="I58" i="4"/>
  <c r="I62" i="4" s="1"/>
  <c r="E246" i="10"/>
  <c r="E164" i="10"/>
  <c r="E517" i="10" s="1"/>
  <c r="H62" i="4"/>
  <c r="H64" i="4" s="1"/>
  <c r="H59" i="4"/>
  <c r="E44" i="10"/>
  <c r="H129" i="4"/>
  <c r="H130" i="4" s="1"/>
  <c r="H118" i="4"/>
  <c r="H119" i="4" s="1"/>
  <c r="H120" i="4"/>
  <c r="H121" i="4" s="1"/>
  <c r="J42" i="4"/>
  <c r="J117" i="4" s="1"/>
  <c r="E408" i="10"/>
  <c r="L171" i="4"/>
  <c r="M170" i="4"/>
  <c r="E399" i="10"/>
  <c r="K174" i="4"/>
  <c r="E419" i="10" s="1"/>
  <c r="G74" i="4"/>
  <c r="K42" i="4"/>
  <c r="E409" i="10"/>
  <c r="I59" i="4" l="1"/>
  <c r="E447" i="10" s="1"/>
  <c r="I129" i="4"/>
  <c r="I130" i="4" s="1"/>
  <c r="I120" i="4"/>
  <c r="I121" i="4" s="1"/>
  <c r="I118" i="4"/>
  <c r="I119" i="4" s="1"/>
  <c r="E428" i="10"/>
  <c r="J58" i="4"/>
  <c r="E400" i="10"/>
  <c r="L173" i="4"/>
  <c r="L174" i="4"/>
  <c r="E420" i="10" s="1"/>
  <c r="E446" i="10"/>
  <c r="E45" i="10"/>
  <c r="M171" i="4"/>
  <c r="N170" i="4"/>
  <c r="E50" i="5"/>
  <c r="F91" i="4"/>
  <c r="G75" i="4"/>
  <c r="G83" i="4"/>
  <c r="E429" i="10"/>
  <c r="K117" i="4"/>
  <c r="K58" i="4"/>
  <c r="H65" i="4"/>
  <c r="H67" i="4"/>
  <c r="L126" i="4"/>
  <c r="J62" i="4" l="1"/>
  <c r="J129" i="4"/>
  <c r="J130" i="4" s="1"/>
  <c r="J118" i="4"/>
  <c r="J119" i="4" s="1"/>
  <c r="L42" i="4"/>
  <c r="E410" i="10"/>
  <c r="J120" i="4"/>
  <c r="J121" i="4" s="1"/>
  <c r="J59" i="4"/>
  <c r="E448" i="10" s="1"/>
  <c r="E401" i="10"/>
  <c r="M173" i="4"/>
  <c r="M174" i="4"/>
  <c r="E421" i="10" s="1"/>
  <c r="N171" i="4"/>
  <c r="E402" i="10" s="1"/>
  <c r="O170" i="4"/>
  <c r="G76" i="4"/>
  <c r="G131" i="4"/>
  <c r="I63" i="4"/>
  <c r="K59" i="4"/>
  <c r="K62" i="4"/>
  <c r="K120" i="4"/>
  <c r="K118" i="4"/>
  <c r="K129" i="4"/>
  <c r="I66" i="4"/>
  <c r="H68" i="4"/>
  <c r="N126" i="4"/>
  <c r="M126" i="4"/>
  <c r="F73" i="5"/>
  <c r="F39" i="21" s="1"/>
  <c r="E430" i="10" l="1"/>
  <c r="L117" i="4"/>
  <c r="L58" i="4"/>
  <c r="N173" i="4"/>
  <c r="N174" i="4"/>
  <c r="E422" i="10" s="1"/>
  <c r="O171" i="4"/>
  <c r="P170" i="4"/>
  <c r="M42" i="4"/>
  <c r="E431" i="10" s="1"/>
  <c r="E411" i="10"/>
  <c r="G77" i="4"/>
  <c r="G78" i="4" s="1"/>
  <c r="I64" i="4"/>
  <c r="I67" i="4" s="1"/>
  <c r="I68" i="4" s="1"/>
  <c r="E449" i="10"/>
  <c r="K121" i="4"/>
  <c r="K119" i="4"/>
  <c r="K130" i="4"/>
  <c r="H69" i="4"/>
  <c r="L118" i="4" l="1"/>
  <c r="L119" i="4" s="1"/>
  <c r="L129" i="4"/>
  <c r="L130" i="4" s="1"/>
  <c r="L59" i="4"/>
  <c r="E450" i="10" s="1"/>
  <c r="L62" i="4"/>
  <c r="L120" i="4"/>
  <c r="L121" i="4" s="1"/>
  <c r="E412" i="10"/>
  <c r="N42" i="4"/>
  <c r="E403" i="10"/>
  <c r="O173" i="4"/>
  <c r="O174" i="4"/>
  <c r="E423" i="10" s="1"/>
  <c r="P171" i="4"/>
  <c r="Q170" i="4"/>
  <c r="Q171" i="4" s="1"/>
  <c r="M117" i="4"/>
  <c r="M58" i="4"/>
  <c r="J66" i="4"/>
  <c r="G81" i="4"/>
  <c r="G79" i="4"/>
  <c r="G80" i="4"/>
  <c r="I65" i="4"/>
  <c r="H74" i="4"/>
  <c r="I69" i="4"/>
  <c r="P126" i="4"/>
  <c r="O126" i="4"/>
  <c r="E432" i="10" l="1"/>
  <c r="N58" i="4"/>
  <c r="N117" i="4"/>
  <c r="O42" i="4"/>
  <c r="E413" i="10"/>
  <c r="E404" i="10"/>
  <c r="P174" i="4"/>
  <c r="E424" i="10" s="1"/>
  <c r="P173" i="4"/>
  <c r="M120" i="4"/>
  <c r="M121" i="4" s="1"/>
  <c r="M59" i="4"/>
  <c r="E451" i="10" s="1"/>
  <c r="M118" i="4"/>
  <c r="M119" i="4" s="1"/>
  <c r="M129" i="4"/>
  <c r="M130" i="4" s="1"/>
  <c r="M62" i="4"/>
  <c r="Q173" i="4"/>
  <c r="Q174" i="4"/>
  <c r="F27" i="5"/>
  <c r="H75" i="4"/>
  <c r="J63" i="4"/>
  <c r="H83" i="4"/>
  <c r="I74" i="4"/>
  <c r="E405" i="10"/>
  <c r="N118" i="4" l="1"/>
  <c r="N119" i="4" s="1"/>
  <c r="N59" i="4"/>
  <c r="E452" i="10" s="1"/>
  <c r="N62" i="4"/>
  <c r="N120" i="4"/>
  <c r="N121" i="4" s="1"/>
  <c r="N129" i="4"/>
  <c r="N130" i="4" s="1"/>
  <c r="E433" i="10"/>
  <c r="O58" i="4"/>
  <c r="O117" i="4"/>
  <c r="E414" i="10"/>
  <c r="P42" i="4"/>
  <c r="E434" i="10" s="1"/>
  <c r="Q42" i="4"/>
  <c r="E415" i="10"/>
  <c r="E425" i="10"/>
  <c r="I75" i="4"/>
  <c r="H76" i="4"/>
  <c r="H131" i="4"/>
  <c r="J64" i="4"/>
  <c r="J65" i="4" s="1"/>
  <c r="I83" i="4"/>
  <c r="G27" i="5"/>
  <c r="F30" i="5"/>
  <c r="F105" i="4"/>
  <c r="Q126" i="4"/>
  <c r="O118" i="4" l="1"/>
  <c r="O119" i="4" s="1"/>
  <c r="O129" i="4"/>
  <c r="O130" i="4" s="1"/>
  <c r="O120" i="4"/>
  <c r="O121" i="4" s="1"/>
  <c r="O59" i="4"/>
  <c r="E453" i="10" s="1"/>
  <c r="O62" i="4"/>
  <c r="P117" i="4"/>
  <c r="P58" i="4"/>
  <c r="E435" i="10"/>
  <c r="F80" i="11"/>
  <c r="Q58" i="4"/>
  <c r="Q117" i="4"/>
  <c r="G80" i="11"/>
  <c r="I131" i="4"/>
  <c r="H77" i="4"/>
  <c r="J67" i="4"/>
  <c r="J68" i="4" s="1"/>
  <c r="K63" i="4"/>
  <c r="G30" i="5"/>
  <c r="E41" i="10"/>
  <c r="E166" i="10"/>
  <c r="E27" i="10"/>
  <c r="P118" i="4" l="1"/>
  <c r="P119" i="4" s="1"/>
  <c r="P129" i="4"/>
  <c r="P130" i="4" s="1"/>
  <c r="P62" i="4"/>
  <c r="P59" i="4"/>
  <c r="E454" i="10" s="1"/>
  <c r="P120" i="4"/>
  <c r="P121" i="4" s="1"/>
  <c r="Q129" i="4"/>
  <c r="E33" i="5"/>
  <c r="Q120" i="4"/>
  <c r="Q118" i="4"/>
  <c r="Q59" i="4"/>
  <c r="D56" i="21" s="1"/>
  <c r="F87" i="4"/>
  <c r="Q62" i="4"/>
  <c r="F81" i="11"/>
  <c r="E38" i="10"/>
  <c r="H78" i="4"/>
  <c r="H80" i="4"/>
  <c r="J69" i="4"/>
  <c r="K66" i="4"/>
  <c r="K64" i="4"/>
  <c r="K65" i="4" s="1"/>
  <c r="E34" i="5" l="1"/>
  <c r="Q121" i="4"/>
  <c r="Q130" i="4"/>
  <c r="Q119" i="4"/>
  <c r="E455" i="10"/>
  <c r="E270" i="10"/>
  <c r="E258" i="10"/>
  <c r="F104" i="4"/>
  <c r="E194" i="10"/>
  <c r="E161" i="10"/>
  <c r="E516" i="10" s="1"/>
  <c r="E241" i="10"/>
  <c r="I76" i="4"/>
  <c r="H79" i="4"/>
  <c r="H81" i="4"/>
  <c r="J74" i="4"/>
  <c r="L63" i="4"/>
  <c r="K67" i="4"/>
  <c r="F100" i="5" l="1"/>
  <c r="F101" i="5" s="1"/>
  <c r="E37" i="5"/>
  <c r="E25" i="10"/>
  <c r="F87" i="9"/>
  <c r="I77" i="4"/>
  <c r="J75" i="4"/>
  <c r="J83" i="4"/>
  <c r="H27" i="5"/>
  <c r="L64" i="4"/>
  <c r="L65" i="4" s="1"/>
  <c r="K68" i="4"/>
  <c r="L66" i="4"/>
  <c r="G100" i="5" l="1"/>
  <c r="F119" i="5"/>
  <c r="F118" i="5"/>
  <c r="G122" i="5"/>
  <c r="G76" i="21" s="1"/>
  <c r="I78" i="4"/>
  <c r="I80" i="4"/>
  <c r="E221" i="10"/>
  <c r="F110" i="5"/>
  <c r="G124" i="5"/>
  <c r="G78" i="21" s="1"/>
  <c r="F102" i="5"/>
  <c r="J131" i="4"/>
  <c r="H30" i="5"/>
  <c r="L67" i="4"/>
  <c r="M63" i="4"/>
  <c r="K69" i="4"/>
  <c r="J76" i="4" l="1"/>
  <c r="I79" i="4"/>
  <c r="G119" i="5"/>
  <c r="G101" i="5"/>
  <c r="G118" i="5"/>
  <c r="H100" i="5"/>
  <c r="G123" i="5"/>
  <c r="G77" i="21" s="1"/>
  <c r="I81" i="4"/>
  <c r="E220" i="10"/>
  <c r="M64" i="4"/>
  <c r="M65" i="4" s="1"/>
  <c r="K74" i="4"/>
  <c r="L68" i="4"/>
  <c r="M66" i="4"/>
  <c r="J77" i="4" l="1"/>
  <c r="J80" i="4" s="1"/>
  <c r="H119" i="5"/>
  <c r="H101" i="5"/>
  <c r="H118" i="5"/>
  <c r="I100" i="5"/>
  <c r="G110" i="5"/>
  <c r="G102" i="5"/>
  <c r="G125" i="5"/>
  <c r="M67" i="4"/>
  <c r="N63" i="4"/>
  <c r="K75" i="4"/>
  <c r="I27" i="5"/>
  <c r="K83" i="4"/>
  <c r="L69" i="4"/>
  <c r="J78" i="4" l="1"/>
  <c r="I119" i="5"/>
  <c r="I101" i="5"/>
  <c r="I118" i="5"/>
  <c r="J100" i="5"/>
  <c r="H110" i="5"/>
  <c r="H102" i="5"/>
  <c r="N64" i="4"/>
  <c r="N65" i="4" s="1"/>
  <c r="K131" i="4"/>
  <c r="I30" i="5"/>
  <c r="L74" i="4"/>
  <c r="L75" i="4" s="1"/>
  <c r="N66" i="4"/>
  <c r="M68" i="4"/>
  <c r="J79" i="4" l="1"/>
  <c r="K76" i="4"/>
  <c r="J81" i="4"/>
  <c r="J101" i="5"/>
  <c r="J102" i="5" s="1"/>
  <c r="I110" i="5"/>
  <c r="I102" i="5"/>
  <c r="J118" i="5"/>
  <c r="K100" i="5"/>
  <c r="L100" i="5" s="1"/>
  <c r="J119" i="5"/>
  <c r="N67" i="4"/>
  <c r="O63" i="4"/>
  <c r="L131" i="4"/>
  <c r="L83" i="4"/>
  <c r="J27" i="5"/>
  <c r="M69" i="4"/>
  <c r="K77" i="4" l="1"/>
  <c r="J110" i="5"/>
  <c r="K101" i="5"/>
  <c r="K110" i="5" s="1"/>
  <c r="K119" i="5"/>
  <c r="K118" i="5"/>
  <c r="L119" i="5"/>
  <c r="L101" i="5"/>
  <c r="L118" i="5"/>
  <c r="M100" i="5"/>
  <c r="O64" i="4"/>
  <c r="O65" i="4" s="1"/>
  <c r="J30" i="5"/>
  <c r="M74" i="4"/>
  <c r="O66" i="4"/>
  <c r="N68" i="4"/>
  <c r="K80" i="4" l="1"/>
  <c r="K78" i="4"/>
  <c r="L76" i="4" s="1"/>
  <c r="K102" i="5"/>
  <c r="L110" i="5"/>
  <c r="L102" i="5"/>
  <c r="M101" i="5"/>
  <c r="M119" i="5"/>
  <c r="M118" i="5"/>
  <c r="N100" i="5"/>
  <c r="P63" i="4"/>
  <c r="O67" i="4"/>
  <c r="P66" i="4" s="1"/>
  <c r="M75" i="4"/>
  <c r="K27" i="5"/>
  <c r="M83" i="4"/>
  <c r="N69" i="4"/>
  <c r="K79" i="4" l="1"/>
  <c r="K81" i="4"/>
  <c r="L77" i="4"/>
  <c r="L78" i="4" s="1"/>
  <c r="O100" i="5"/>
  <c r="N119" i="5"/>
  <c r="N101" i="5"/>
  <c r="N118" i="5"/>
  <c r="M110" i="5"/>
  <c r="M102" i="5"/>
  <c r="P64" i="4"/>
  <c r="P65" i="4" s="1"/>
  <c r="M131" i="4"/>
  <c r="K30" i="5"/>
  <c r="N74" i="4"/>
  <c r="N75" i="4" s="1"/>
  <c r="O68" i="4"/>
  <c r="L80" i="4" l="1"/>
  <c r="O119" i="5"/>
  <c r="O101" i="5"/>
  <c r="O118" i="5"/>
  <c r="E104" i="5"/>
  <c r="E105" i="5" s="1"/>
  <c r="H122" i="5"/>
  <c r="H76" i="21" s="1"/>
  <c r="I122" i="5"/>
  <c r="I76" i="21" s="1"/>
  <c r="N110" i="5"/>
  <c r="N102" i="5"/>
  <c r="L81" i="4"/>
  <c r="L79" i="4"/>
  <c r="M76" i="4"/>
  <c r="Q63" i="4"/>
  <c r="P67" i="4"/>
  <c r="P68" i="4" s="1"/>
  <c r="N131" i="4"/>
  <c r="N83" i="4"/>
  <c r="L27" i="5"/>
  <c r="O69" i="4"/>
  <c r="H124" i="5" l="1"/>
  <c r="H78" i="21" s="1"/>
  <c r="G97" i="11"/>
  <c r="O110" i="5"/>
  <c r="O102" i="5"/>
  <c r="I124" i="5"/>
  <c r="M77" i="4"/>
  <c r="Q64" i="4"/>
  <c r="Q65" i="4" s="1"/>
  <c r="P69" i="4"/>
  <c r="Q66" i="4"/>
  <c r="L30" i="5"/>
  <c r="O74" i="4"/>
  <c r="D128" i="5" l="1"/>
  <c r="D80" i="21" s="1"/>
  <c r="I78" i="21"/>
  <c r="H123" i="5"/>
  <c r="H77" i="21" s="1"/>
  <c r="F97" i="11"/>
  <c r="E103" i="5"/>
  <c r="I123" i="5"/>
  <c r="I77" i="21" s="1"/>
  <c r="G98" i="11"/>
  <c r="M80" i="4"/>
  <c r="M78" i="4"/>
  <c r="G82" i="11"/>
  <c r="F82" i="11"/>
  <c r="Q67" i="4"/>
  <c r="P74" i="4"/>
  <c r="O75" i="4"/>
  <c r="M27" i="5"/>
  <c r="O83" i="4"/>
  <c r="H125" i="5" l="1"/>
  <c r="E106" i="5"/>
  <c r="I125" i="5"/>
  <c r="F98" i="11"/>
  <c r="M81" i="4"/>
  <c r="M79" i="4"/>
  <c r="N76" i="4"/>
  <c r="N27" i="5"/>
  <c r="P83" i="4"/>
  <c r="O131" i="4"/>
  <c r="P75" i="4"/>
  <c r="M30" i="5"/>
  <c r="Q68" i="4"/>
  <c r="F88" i="4" l="1"/>
  <c r="E39" i="5"/>
  <c r="E38" i="5"/>
  <c r="N77" i="4"/>
  <c r="N30" i="5"/>
  <c r="P131" i="4"/>
  <c r="Q69" i="4"/>
  <c r="F83" i="11"/>
  <c r="G83" i="11"/>
  <c r="E45" i="5" l="1"/>
  <c r="E214" i="10"/>
  <c r="E112" i="5"/>
  <c r="E41" i="5"/>
  <c r="E40" i="5"/>
  <c r="E217" i="10" s="1"/>
  <c r="N80" i="4"/>
  <c r="N78" i="4"/>
  <c r="F122" i="5"/>
  <c r="F76" i="21" s="1"/>
  <c r="Q74" i="4"/>
  <c r="E229" i="10" l="1"/>
  <c r="E248" i="10"/>
  <c r="E218" i="10"/>
  <c r="N81" i="4"/>
  <c r="O76" i="4"/>
  <c r="N79" i="4"/>
  <c r="Q75" i="4"/>
  <c r="O27" i="5"/>
  <c r="E222" i="10"/>
  <c r="Q83" i="4"/>
  <c r="F124" i="5"/>
  <c r="F123" i="5" l="1"/>
  <c r="F78" i="21"/>
  <c r="O77" i="4"/>
  <c r="O78" i="4" s="1"/>
  <c r="Q131" i="4"/>
  <c r="F106" i="4"/>
  <c r="F86" i="4"/>
  <c r="O30" i="5"/>
  <c r="F77" i="21" l="1"/>
  <c r="F125" i="5"/>
  <c r="O81" i="4"/>
  <c r="O79" i="4"/>
  <c r="O80" i="4"/>
  <c r="P76" i="4"/>
  <c r="P77" i="4" s="1"/>
  <c r="E28" i="10"/>
  <c r="E167" i="10"/>
  <c r="E518" i="10" s="1"/>
  <c r="E55" i="10"/>
  <c r="F89" i="4"/>
  <c r="E44" i="5"/>
  <c r="P80" i="4" l="1"/>
  <c r="P78" i="4"/>
  <c r="F90" i="11"/>
  <c r="G90" i="11"/>
  <c r="F90" i="4"/>
  <c r="E215" i="10"/>
  <c r="F108" i="4"/>
  <c r="E19" i="10"/>
  <c r="E46" i="5"/>
  <c r="P81" i="4" l="1"/>
  <c r="P79" i="4"/>
  <c r="Q76" i="4"/>
  <c r="E20" i="10"/>
  <c r="E48" i="5"/>
  <c r="E63" i="5"/>
  <c r="E62" i="5"/>
  <c r="E47" i="5"/>
  <c r="Q77" i="4" l="1"/>
  <c r="F92" i="4"/>
  <c r="E216" i="10"/>
  <c r="E247" i="10"/>
  <c r="E228" i="10"/>
  <c r="F93" i="4" l="1"/>
  <c r="Q80" i="4"/>
  <c r="Q78" i="4"/>
  <c r="E57" i="10"/>
  <c r="E58" i="10" l="1"/>
  <c r="E29" i="10"/>
  <c r="F94" i="4"/>
  <c r="Q81" i="4"/>
  <c r="F95" i="4"/>
  <c r="Q79" i="4"/>
  <c r="F96" i="4" l="1"/>
  <c r="F73" i="11"/>
  <c r="G73" i="11"/>
  <c r="F97" i="4"/>
  <c r="E54" i="10"/>
  <c r="E168" i="10"/>
  <c r="E519" i="10" s="1"/>
  <c r="H85" i="10"/>
  <c r="E30" i="10"/>
  <c r="E52" i="5" l="1"/>
  <c r="F99" i="4"/>
  <c r="E498" i="10" l="1"/>
  <c r="E490" i="10"/>
  <c r="F491" i="10"/>
  <c r="K201" i="18"/>
  <c r="E54" i="5"/>
  <c r="H97" i="10"/>
  <c r="F100" i="4"/>
  <c r="E52" i="10"/>
  <c r="E13" i="10"/>
  <c r="F50" i="11"/>
  <c r="F51" i="11"/>
  <c r="E17" i="10"/>
  <c r="H65" i="10"/>
  <c r="G51" i="11"/>
  <c r="E79" i="9"/>
  <c r="F31" i="9"/>
  <c r="G50" i="11"/>
  <c r="E151" i="10"/>
  <c r="E508" i="10" s="1"/>
  <c r="E200" i="10"/>
  <c r="E178" i="10"/>
  <c r="G48" i="11"/>
  <c r="E235" i="10"/>
  <c r="E265" i="10"/>
  <c r="E253" i="10"/>
  <c r="E497" i="10" l="1"/>
  <c r="E482" i="10"/>
  <c r="E55" i="5"/>
  <c r="E56" i="10"/>
  <c r="E472" i="10"/>
  <c r="E275" i="10"/>
  <c r="N206" i="10"/>
  <c r="E252" i="10"/>
  <c r="E206" i="10"/>
  <c r="E234" i="10"/>
  <c r="E179" i="10"/>
  <c r="E199" i="10"/>
  <c r="E140" i="10"/>
  <c r="E152" i="10"/>
  <c r="E509" i="10" s="1"/>
  <c r="E122" i="10"/>
  <c r="E131" i="10"/>
  <c r="E18" i="10"/>
  <c r="J31" i="9"/>
  <c r="E465" i="10"/>
  <c r="E53" i="10"/>
  <c r="E34" i="10"/>
  <c r="E264" i="10"/>
  <c r="E80" i="9"/>
  <c r="E81" i="9"/>
  <c r="F48" i="11"/>
  <c r="E56" i="5" l="1"/>
  <c r="G47" i="11" l="1"/>
  <c r="E94" i="5"/>
  <c r="E64" i="5"/>
  <c r="E80" i="5"/>
  <c r="E60" i="5"/>
  <c r="E85" i="5"/>
  <c r="E70" i="5"/>
  <c r="E38" i="21" s="1"/>
  <c r="E82" i="5"/>
  <c r="E74" i="5"/>
  <c r="E40" i="21" s="1"/>
  <c r="E91" i="5"/>
  <c r="E58" i="5"/>
  <c r="F47" i="11"/>
  <c r="E87" i="5"/>
  <c r="E95" i="5" l="1"/>
  <c r="E86" i="5"/>
  <c r="F86" i="11"/>
  <c r="G75" i="11"/>
  <c r="F70" i="5"/>
  <c r="F38" i="21" s="1"/>
  <c r="F75" i="11"/>
  <c r="E76" i="5"/>
  <c r="E42" i="21" s="1"/>
  <c r="F74" i="5"/>
  <c r="F40" i="21" s="1"/>
  <c r="E92" i="5"/>
  <c r="E59" i="5"/>
  <c r="G103" i="11" l="1"/>
  <c r="G86" i="11"/>
  <c r="F103" i="11" l="1"/>
  <c r="F6" i="19" s="1"/>
  <c r="F93" i="11" l="1"/>
  <c r="E6" i="1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StreetCred</author>
  </authors>
  <commentList>
    <comment ref="E5" authorId="0" shapeId="0">
      <text>
        <r>
          <rPr>
            <sz val="11"/>
            <color theme="1"/>
            <rFont val="Calibri"/>
            <family val="2"/>
            <scheme val="minor"/>
          </rPr>
          <t>Source: Our choice
Note: Your choice of live case. Drives every 'Live' cell in column I (via the row below) and so the Model, DCF and Summary live column.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StreetCred</author>
  </authors>
  <commentList>
    <comment ref="K93" authorId="0" shapeId="0">
      <text>
        <r>
          <rPr>
            <b/>
            <sz val="9"/>
            <color indexed="81"/>
            <rFont val="Tahoma"/>
            <charset val="1"/>
          </rPr>
          <t>Source: Anthropic, PBC Form S-1 (filed 26 Oct 2026)
p.64
Note: Quarterly revenue, three months to 31 Dec 2024.</t>
        </r>
      </text>
    </comment>
    <comment ref="K94" authorId="0" shapeId="0">
      <text>
        <r>
          <rPr>
            <b/>
            <sz val="9"/>
            <color indexed="81"/>
            <rFont val="Tahoma"/>
            <charset val="1"/>
          </rPr>
          <t>Source: Anthropic, PBC Form S-1 (filed 26 Oct 2026)
p.184
Note: 'was 86 times our revenue for the three months ended December 31, 2024'. Q3 2026 itself is blank in the S-1.</t>
        </r>
      </text>
    </comment>
    <comment ref="F97" authorId="0" shapeId="0">
      <text>
        <r>
          <rPr>
            <b/>
            <sz val="9"/>
            <color indexed="81"/>
            <rFont val="Tahoma"/>
            <charset val="1"/>
          </rPr>
          <t>Source: Our est.
Note: Carry-over of the Aug-Sep exit rate alone is +4-8%; +35% needs re-acceleration. Our pencil range is +15-35%.</t>
        </r>
      </text>
    </comment>
    <comment ref="G97" authorId="0" shapeId="0">
      <text>
        <r>
          <rPr>
            <b/>
            <sz val="9"/>
            <color indexed="81"/>
            <rFont val="Tahoma"/>
            <charset val="1"/>
          </rPr>
          <t>Source: Our est.
Note: Carry-over of the Aug-Sep exit rate alone is +4-8%; +35% needs re-acceleration. Our pencil range is +15-35%.</t>
        </r>
      </text>
    </comment>
    <comment ref="H97" authorId="0" shapeId="0">
      <text>
        <r>
          <rPr>
            <b/>
            <sz val="9"/>
            <color indexed="81"/>
            <rFont val="Tahoma"/>
            <charset val="1"/>
          </rPr>
          <t>Source: Our est.
Note: Carry-over of the Aug-Sep exit rate alone is +4-8%; +35% needs re-acceleration. Our pencil range is +15-35%.</t>
        </r>
      </text>
    </comment>
    <comment ref="F98" authorId="0" shapeId="0">
      <text>
        <r>
          <rPr>
            <sz val="11"/>
            <color theme="1"/>
            <rFont val="Calibri"/>
            <family val="2"/>
            <scheme val="minor"/>
          </rPr>
          <t>Source: Our est. on S-1 p.146
Note: 5-7% of nine-month revenue came from customers later cut off; enforcement stepped up Aug-Sep and is expected to 'reduce our overall revenue and growth rates'.</t>
        </r>
      </text>
    </comment>
    <comment ref="G98" authorId="0" shapeId="0">
      <text>
        <r>
          <rPr>
            <sz val="11"/>
            <color theme="1"/>
            <rFont val="Calibri"/>
            <family val="2"/>
            <scheme val="minor"/>
          </rPr>
          <t>Source: Our est. on S-1 p.146
Note: 5-7% of nine-month revenue came from customers later cut off; enforcement stepped up Aug-Sep and is expected to 'reduce our overall revenue and growth rates'.</t>
        </r>
      </text>
    </comment>
    <comment ref="H98" authorId="0" shapeId="0">
      <text>
        <r>
          <rPr>
            <sz val="11"/>
            <color theme="1"/>
            <rFont val="Calibri"/>
            <family val="2"/>
            <scheme val="minor"/>
          </rPr>
          <t>Source: Our est. on S-1 p.146
Note: 5-7% of nine-month revenue came from customers later cut off; enforcement stepped up Aug-Sep and is expected to 'reduce our overall revenue and growth rates'.</t>
        </r>
      </text>
    </comment>
    <comment ref="K99" authorId="0" shapeId="0">
      <text>
        <r>
          <rPr>
            <b/>
            <sz val="9"/>
            <color indexed="81"/>
            <rFont val="Tahoma"/>
            <charset val="1"/>
          </rPr>
          <t>Source: Anthropic, PBC Form S-1 (filed 26 Oct 2026)
p.139 / F-27
Note: H1 2026: subscription $3,222M of $16,286M = 19.8%; consumption 80%. Held flat; presentation only.</t>
        </r>
      </text>
    </comment>
    <comment ref="K137" authorId="0" shapeId="0">
      <text>
        <r>
          <rPr>
            <sz val="11"/>
            <color theme="1"/>
            <rFont val="Calibri"/>
            <family val="2"/>
            <scheme val="minor"/>
          </rPr>
          <t>Source: Our est.
Note: Linear glide from H2 2026 (index 0) to the terminal level in FY2032 (index 6).</t>
        </r>
      </text>
    </comment>
    <comment ref="K138" authorId="0" shapeId="0">
      <text>
        <r>
          <rPr>
            <sz val="11"/>
            <color theme="1"/>
            <rFont val="Calibri"/>
            <family val="2"/>
            <scheme val="minor"/>
          </rPr>
          <t>Source: Our est. on S-1 p.159
Note: Q2 2026 compute was 48% of revenue (H1 55%). SpaceXAI reaches ~$3.1B/month in Dec 2026 (p.172); short-term compute costs more (p.135).</t>
        </r>
      </text>
    </comment>
    <comment ref="K139" authorId="0" shapeId="0">
      <text>
        <r>
          <rPr>
            <sz val="11"/>
            <color theme="1"/>
            <rFont val="Calibri"/>
            <family val="2"/>
            <scheme val="minor"/>
          </rPr>
          <t>Source: Our est. on S-1 p.159
Note: Q2 2026 compute was 48% of revenue (H1 55%). SpaceXAI reaches ~$3.1B/month in Dec 2026 (p.172); short-term compute costs more (p.135).</t>
        </r>
      </text>
    </comment>
    <comment ref="K140" authorId="0" shapeId="0">
      <text>
        <r>
          <rPr>
            <sz val="11"/>
            <color theme="1"/>
            <rFont val="Calibri"/>
            <family val="2"/>
            <scheme val="minor"/>
          </rPr>
          <t>Source: Derived, S-1 p.158
Note: Q2 2026: personnel 1,857 less SBC 1,261 = 596 = 5.2% of revenue.</t>
        </r>
      </text>
    </comment>
    <comment ref="F141" authorId="0" shapeId="0">
      <text>
        <r>
          <rPr>
            <sz val="11"/>
            <color theme="1"/>
            <rFont val="Calibri"/>
            <family val="2"/>
            <scheme val="minor"/>
          </rPr>
          <t>Source: Our est.
Note: Headcount scales with revenue but below it.</t>
        </r>
      </text>
    </comment>
    <comment ref="G141" authorId="0" shapeId="0">
      <text>
        <r>
          <rPr>
            <sz val="11"/>
            <color theme="1"/>
            <rFont val="Calibri"/>
            <family val="2"/>
            <scheme val="minor"/>
          </rPr>
          <t>Source: Our est.
Note: Headcount scales with revenue but below it.</t>
        </r>
      </text>
    </comment>
    <comment ref="H141" authorId="0" shapeId="0">
      <text>
        <r>
          <rPr>
            <sz val="11"/>
            <color theme="1"/>
            <rFont val="Calibri"/>
            <family val="2"/>
            <scheme val="minor"/>
          </rPr>
          <t>Source: Our est.
Note: Headcount scales with revenue but below it.</t>
        </r>
      </text>
    </comment>
    <comment ref="K142" authorId="0" shapeId="0">
      <text>
        <r>
          <rPr>
            <sz val="11"/>
            <color theme="1"/>
            <rFont val="Calibri"/>
            <family val="2"/>
            <scheme val="minor"/>
          </rPr>
          <t>Source: Derived, S-1 p.158
Note: Q2 2026 SBC $1,261M = 10.9% of revenue, before the performance-RSU expense that starts at the IPO.</t>
        </r>
      </text>
    </comment>
    <comment ref="F143" authorId="0" shapeId="0">
      <text>
        <r>
          <rPr>
            <sz val="11"/>
            <color theme="1"/>
            <rFont val="Calibri"/>
            <family val="2"/>
            <scheme val="minor"/>
          </rPr>
          <t>Source: Our est.
Note: Treated as a real cost in FCF. Large-cap software runs ~5-10%. Future grants are expensed, so the 2,950M-share plan reserve is NOT added to the share count.</t>
        </r>
      </text>
    </comment>
    <comment ref="G143" authorId="0" shapeId="0">
      <text>
        <r>
          <rPr>
            <sz val="11"/>
            <color theme="1"/>
            <rFont val="Calibri"/>
            <family val="2"/>
            <scheme val="minor"/>
          </rPr>
          <t>Source: Our est.
Note: Treated as a real cost in FCF. Large-cap software runs ~5-10%. Future grants are expensed, so the 2,950M-share plan reserve is NOT added to the share count.</t>
        </r>
      </text>
    </comment>
    <comment ref="H143" authorId="0" shapeId="0">
      <text>
        <r>
          <rPr>
            <sz val="11"/>
            <color theme="1"/>
            <rFont val="Calibri"/>
            <family val="2"/>
            <scheme val="minor"/>
          </rPr>
          <t>Source: Our est.
Note: Treated as a real cost in FCF. Large-cap software runs ~5-10%. Future grants are expensed, so the 2,950M-share plan reserve is NOT added to the share count.</t>
        </r>
      </text>
    </comment>
    <comment ref="K144" authorId="0" shapeId="0">
      <text>
        <r>
          <rPr>
            <sz val="11"/>
            <color theme="1"/>
            <rFont val="Calibri"/>
            <family val="2"/>
            <scheme val="minor"/>
          </rPr>
          <t>Source: Derived, S-1 p.158
Note: Q2 2026: 2,135 / 11,555 = 18.5%. Mostly channel-partner fees on the 48% marketplace channel (p.150, F-17).</t>
        </r>
      </text>
    </comment>
    <comment ref="K145" authorId="0" shapeId="0">
      <text>
        <r>
          <rPr>
            <b/>
            <sz val="9"/>
            <color indexed="81"/>
            <rFont val="Tahoma"/>
            <charset val="1"/>
          </rPr>
          <t>Source: Anthropic, PBC Form S-1 (filed 26 Oct 2026)
F-36, p.146
Note: From 2026 compute &amp; infrastructure includes finance-lease amortisation AND D&amp;A on owned data-centre assets (p.146); the S-1 does not split the $97M H1 D&amp;A by caption. Our est.: the $13M sits in compute, the other $84M in other op &amp; admin (p</t>
        </r>
      </text>
    </comment>
    <comment ref="F147" authorId="0" shapeId="0">
      <text>
        <r>
          <rPr>
            <sz val="11"/>
            <color theme="1"/>
            <rFont val="Calibri"/>
            <family val="2"/>
            <scheme val="minor"/>
          </rPr>
          <t>Source: Our est.
Note: Excludes D&amp;A (forecast separately).</t>
        </r>
      </text>
    </comment>
    <comment ref="G147" authorId="0" shapeId="0">
      <text>
        <r>
          <rPr>
            <sz val="11"/>
            <color theme="1"/>
            <rFont val="Calibri"/>
            <family val="2"/>
            <scheme val="minor"/>
          </rPr>
          <t>Source: Our est.
Note: Excludes D&amp;A (forecast separately).</t>
        </r>
      </text>
    </comment>
    <comment ref="H147" authorId="0" shapeId="0">
      <text>
        <r>
          <rPr>
            <sz val="11"/>
            <color theme="1"/>
            <rFont val="Calibri"/>
            <family val="2"/>
            <scheme val="minor"/>
          </rPr>
          <t>Source: Our est.
Note: Excludes D&amp;A (forecast separately).</t>
        </r>
      </text>
    </comment>
    <comment ref="K148" authorId="0" shapeId="0">
      <text>
        <r>
          <rPr>
            <sz val="11"/>
            <color theme="1"/>
            <rFont val="Calibri"/>
            <family val="2"/>
            <scheme val="minor"/>
          </rPr>
          <t>Source: Our est.
Note: Linear glide from H2 2026 (index 0) to the terminal level in FY2032 (index 6).</t>
        </r>
      </text>
    </comment>
    <comment ref="K149" authorId="0" shapeId="0">
      <text>
        <r>
          <rPr>
            <sz val="11"/>
            <color theme="1"/>
            <rFont val="Calibri"/>
            <family val="2"/>
            <scheme val="minor"/>
          </rPr>
          <t>Source: Our est.
Note: Linear glide from H2 2026 (index 0) to the terminal level in FY2032 (index 6).</t>
        </r>
      </text>
    </comment>
    <comment ref="K150" authorId="0" shapeId="0">
      <text>
        <r>
          <rPr>
            <sz val="11"/>
            <color theme="1"/>
            <rFont val="Calibri"/>
            <family val="2"/>
            <scheme val="minor"/>
          </rPr>
          <t>Source: Our est.
Note: Linear glide from H2 2026 (index 0) to the terminal level in FY2032 (index 6).</t>
        </r>
      </text>
    </comment>
    <comment ref="K152" authorId="0" shapeId="0">
      <text>
        <r>
          <rPr>
            <sz val="11"/>
            <color theme="1"/>
            <rFont val="Calibri"/>
            <family val="2"/>
            <scheme val="minor"/>
          </rPr>
          <t>Source: Our est.
Note: Rises with 'Anthropic Direct' owned infrastructure (p.138, p.162).</t>
        </r>
      </text>
    </comment>
    <comment ref="K153" authorId="0" shapeId="0">
      <text>
        <r>
          <rPr>
            <sz val="11"/>
            <color theme="1"/>
            <rFont val="Calibri"/>
            <family val="2"/>
            <scheme val="minor"/>
          </rPr>
          <t>Source: Derived, S-1 F-13
Note: H1 2026 capex 482 / 16,286 = 3.0%.</t>
        </r>
      </text>
    </comment>
    <comment ref="K154" authorId="0" shapeId="0">
      <text>
        <r>
          <rPr>
            <sz val="11"/>
            <color theme="1"/>
            <rFont val="Calibri"/>
            <family val="2"/>
            <scheme val="minor"/>
          </rPr>
          <t>Source: Our est.
Note: Broadcom TPU leases and hosting deals are in compute cost, not capex (our treatment), so capex stays light.</t>
        </r>
      </text>
    </comment>
    <comment ref="K155" authorId="0" shapeId="0">
      <text>
        <r>
          <rPr>
            <sz val="11"/>
            <color theme="1"/>
            <rFont val="Calibri"/>
            <family val="2"/>
            <scheme val="minor"/>
          </rPr>
          <t>Source: Our est. on S-1 F-6
Note: Receivables $5.8B vs Q2 revenue $11.6B (58% marketplace, F-17); offset by deferred revenue and payables. H1 2026 working capital was a $1.2B inflow.</t>
        </r>
      </text>
    </comment>
    <comment ref="F169" authorId="0" shapeId="0">
      <text>
        <r>
          <rPr>
            <sz val="11"/>
            <color theme="1"/>
            <rFont val="Calibri"/>
            <family val="2"/>
            <scheme val="minor"/>
          </rPr>
          <t>Source: Our est. on S-1 p.172
Note: Non-cancellable once delivered and accepted; Lambda's $34.9B lapses if Lambda can't secure the lease; Nscale must find financing.</t>
        </r>
      </text>
    </comment>
    <comment ref="G169" authorId="0" shapeId="0">
      <text>
        <r>
          <rPr>
            <sz val="11"/>
            <color theme="1"/>
            <rFont val="Calibri"/>
            <family val="2"/>
            <scheme val="minor"/>
          </rPr>
          <t>Source: Our est. on S-1 p.172
Note: Non-cancellable once delivered and accepted; Lambda's $34.9B lapses if Lambda can't secure the lease; Nscale must find financing.</t>
        </r>
      </text>
    </comment>
    <comment ref="H169" authorId="0" shapeId="0">
      <text>
        <r>
          <rPr>
            <sz val="11"/>
            <color theme="1"/>
            <rFont val="Calibri"/>
            <family val="2"/>
            <scheme val="minor"/>
          </rPr>
          <t>Source: Our est. on S-1 p.172
Note: Non-cancellable once delivered and accepted; Lambda's $34.9B lapses if Lambda can't secure the lease; Nscale must find financing.</t>
        </r>
      </text>
    </comment>
    <comment ref="F170" authorId="0" shapeId="0">
      <text>
        <r>
          <rPr>
            <b/>
            <sz val="9"/>
            <color indexed="81"/>
            <rFont val="Tahoma"/>
            <charset val="1"/>
          </rPr>
          <t>Source: Anthropic, PBC Form S-1 (filed 26 Oct 2026)
pp.171-172
Note: 'committed to procure' (TPU) and 'non-cancelable by us' (AMD). The dollar amount is the company's estimate.</t>
        </r>
      </text>
    </comment>
    <comment ref="G170" authorId="0" shapeId="0">
      <text>
        <r>
          <rPr>
            <b/>
            <sz val="9"/>
            <color indexed="81"/>
            <rFont val="Tahoma"/>
            <charset val="1"/>
          </rPr>
          <t>Source: Anthropic, PBC Form S-1 (filed 26 Oct 2026)
pp.171-172
Note: 'committed to procure' (TPU) and 'non-cancelable by us' (AMD). The dollar amount is the company's estimate.</t>
        </r>
      </text>
    </comment>
    <comment ref="H170" authorId="0" shapeId="0">
      <text>
        <r>
          <rPr>
            <b/>
            <sz val="9"/>
            <color indexed="81"/>
            <rFont val="Tahoma"/>
            <charset val="1"/>
          </rPr>
          <t>Source: Anthropic, PBC Form S-1 (filed 26 Oct 2026)
pp.171-172
Note: 'committed to procure' (TPU) and 'non-cancelable by us' (AMD). The dollar amount is the company's estimate.</t>
        </r>
      </text>
    </comment>
    <comment ref="F171" authorId="0" shapeId="0">
      <text>
        <r>
          <rPr>
            <b/>
            <sz val="9"/>
            <color indexed="81"/>
            <rFont val="Tahoma"/>
            <charset val="1"/>
          </rPr>
          <t>Source: Anthropic, PBC Form S-1 (filed 26 Oct 2026)
p.172
Note: Either party may cancel on 90 days' notice after Jan/Mar 2027, so the remainder is not a floor. Set to 100% to stress.</t>
        </r>
      </text>
    </comment>
    <comment ref="G171" authorId="0" shapeId="0">
      <text>
        <r>
          <rPr>
            <b/>
            <sz val="9"/>
            <color indexed="81"/>
            <rFont val="Tahoma"/>
            <charset val="1"/>
          </rPr>
          <t>Source: Anthropic, PBC Form S-1 (filed 26 Oct 2026)
p.172
Note: Either party may cancel on 90 days' notice after Jan/Mar 2027, so the remainder is not a floor. Set to 100% to stress.</t>
        </r>
      </text>
    </comment>
    <comment ref="H171" authorId="0" shapeId="0">
      <text>
        <r>
          <rPr>
            <b/>
            <sz val="9"/>
            <color indexed="81"/>
            <rFont val="Tahoma"/>
            <charset val="1"/>
          </rPr>
          <t>Source: Anthropic, PBC Form S-1 (filed 26 Oct 2026)
p.172
Note: Either party may cancel on 90 days' notice after Jan/Mar 2027, so the remainder is not a floor. Set to 100% to stress.</t>
        </r>
      </text>
    </comment>
    <comment ref="F172" authorId="0" shapeId="0">
      <text>
        <r>
          <rPr>
            <b/>
            <sz val="9"/>
            <color indexed="81"/>
            <rFont val="Tahoma"/>
            <charset val="1"/>
          </rPr>
          <t>Source: Our est.
Note: Footnotes add to ~$832B vs $637B named. 'New and amended' deals may double count: the $832B is a ceiling.</t>
        </r>
      </text>
    </comment>
    <comment ref="G172" authorId="0" shapeId="0">
      <text>
        <r>
          <rPr>
            <b/>
            <sz val="9"/>
            <color indexed="81"/>
            <rFont val="Tahoma"/>
            <charset val="1"/>
          </rPr>
          <t>Source: Our est.
Note: Footnotes add to ~$832B vs $637B named. 'New and amended' deals may double count: the $832B is a ceiling.</t>
        </r>
      </text>
    </comment>
    <comment ref="H172" authorId="0" shapeId="0">
      <text>
        <r>
          <rPr>
            <b/>
            <sz val="9"/>
            <color indexed="81"/>
            <rFont val="Tahoma"/>
            <charset val="1"/>
          </rPr>
          <t>Source: Our est.
Note: Footnotes add to ~$832B vs $637B named. 'New and amended' deals may double count: the $832B is a ceiling.</t>
        </r>
      </text>
    </comment>
    <comment ref="K175" authorId="0" shapeId="0">
      <text>
        <r>
          <rPr>
            <sz val="11"/>
            <color theme="1"/>
            <rFont val="Calibri"/>
            <family val="2"/>
            <scheme val="minor"/>
          </rPr>
          <t>Source: External: US Treasury 10-yr CMT, 30 Oct 2026
Note: Treasury daily par yield curve, 10-year constant maturity, close 30 Oct 2026 (Forbes/Treasury 4.94%; market feeds 4.93%). Damodaran's 28 Oct sheet uses 4.9%. Update on the valuation date.</t>
        </r>
      </text>
    </comment>
    <comment ref="K176" authorId="0" shapeId="0">
      <text>
        <r>
          <rPr>
            <sz val="11"/>
            <color theme="1"/>
            <rFont val="Calibri"/>
            <family val="2"/>
            <scheme val="minor"/>
          </rPr>
          <t>Source: External: Damodaran implied ERP, 1 Oct 2026
Note: Damodaran's monthly implied ERP, 1 Oct 2026: 4.20% (trailing 12-month cash yield, adjusted payout: his headline variant). Latest published at 2 Nov 2026 (was 4.28%, 1 Aug; 4.14% in Sep). His other Oct variants span 3.3-5.7%. His sheet pairs</t>
        </r>
      </text>
    </comment>
    <comment ref="K177" authorId="0" shapeId="0">
      <text>
        <r>
          <rPr>
            <sz val="11"/>
            <color theme="1"/>
            <rFont val="Calibri"/>
            <family val="2"/>
            <scheme val="minor"/>
          </rPr>
          <t>Source: External: Damodaran betas by sector, Jan 2026
Note: US 'Software (System &amp; Application)', 309 firms: cash-corrected unlevered beta 1.25 (levered 1.28). Anthropic has no net debt, so unlevered = levered. Systematic risk only: commitment and failure risk sit in the distress haircut, not here.</t>
        </r>
      </text>
    </comment>
    <comment ref="K178" authorId="0" shapeId="0">
      <text>
        <r>
          <rPr>
            <sz val="11"/>
            <color theme="1"/>
            <rFont val="Calibri"/>
            <family val="2"/>
            <scheme val="minor"/>
          </rPr>
          <t>Source: External: Damodaran betas by sector, Jan 2026
Note: US 'Software (System &amp; Application)', 309 firms: cash-corrected unlevered beta 1.25 (levered 1.28). Anthropic has no net debt, so unlevered = levered. Systematic risk only: commitment and failure risk sit in the distress haircut, not here.</t>
        </r>
      </text>
    </comment>
    <comment ref="K179" authorId="0" shapeId="0">
      <text>
        <r>
          <rPr>
            <sz val="11"/>
            <color theme="1"/>
            <rFont val="Calibri"/>
            <family val="2"/>
            <scheme val="minor"/>
          </rPr>
          <t>Source: External: Damodaran betas by sector, Jan 2026
Note: US 'Software (System &amp; Application)', 309 firms: cash-corrected unlevered beta 1.25 (levered 1.28). Anthropic has no net debt, so unlevered = levered. Systematic risk only: commitment and failure risk sit in the distress haircut, not here.</t>
        </r>
      </text>
    </comment>
    <comment ref="K180" authorId="0" shapeId="0">
      <text>
        <r>
          <rPr>
            <sz val="11"/>
            <color theme="1"/>
            <rFont val="Calibri"/>
            <family val="2"/>
            <scheme val="minor"/>
          </rPr>
          <t>Source: External: Damodaran betas by sector, Jan 2026
Note: US 'Software (System &amp; Application)', 309 firms: cash-corrected unlevered beta 1.25 (levered 1.28). Anthropic has no net debt, so unlevered = levered. Systematic risk only: commitment and failure risk sit in the distress haircut, not here.</t>
        </r>
      </text>
    </comment>
    <comment ref="K181" authorId="0" shapeId="0">
      <text>
        <r>
          <rPr>
            <b/>
            <sz val="9"/>
            <color indexed="81"/>
            <rFont val="Tahoma"/>
            <charset val="1"/>
          </rPr>
          <t>Source: Anthropic, PBC Form S-1 (filed 26 Oct 2026)
F-35
Note: Weighted-average discount rate on Anthropic's existing finance leases at 30 Jun 2026, 7.1% (F-35). Applied to the not-yet-commenced Broadcom leases as an estimate. Reported BB+ (KBRA via FT) and 5.75-10% SPV coupons are consistent (External</t>
        </r>
      </text>
    </comment>
    <comment ref="K182" authorId="0" shapeId="0">
      <text>
        <r>
          <rPr>
            <sz val="11"/>
            <color theme="1"/>
            <rFont val="Calibri"/>
            <family val="2"/>
            <scheme val="minor"/>
          </rPr>
          <t>Source: Our choice
Note: Interest-bearing debt drawn is ~$0 (revolver undrawn; Amazon notes convert). Commitments are handled in operating cost, not here.</t>
        </r>
      </text>
    </comment>
    <comment ref="K183" authorId="0" shapeId="0">
      <text>
        <r>
          <rPr>
            <sz val="11"/>
            <color theme="1"/>
            <rFont val="Calibri"/>
            <family val="2"/>
            <scheme val="minor"/>
          </rPr>
          <t>Source: Our est.
Note: 21% federal + state.</t>
        </r>
      </text>
    </comment>
    <comment ref="F184" authorId="0" shapeId="0">
      <text>
        <r>
          <rPr>
            <b/>
            <sz val="9"/>
            <color indexed="81"/>
            <rFont val="Tahoma"/>
            <charset val="1"/>
          </rPr>
          <t>Source: Our choice
Note: Zero in every scenario. Scenario risk is carried by the weighted downside cases; adding it to the discount rate as well would count it twice. Kept as a lever for sensitivity only.</t>
        </r>
      </text>
    </comment>
    <comment ref="G184" authorId="0" shapeId="0">
      <text>
        <r>
          <rPr>
            <b/>
            <sz val="9"/>
            <color indexed="81"/>
            <rFont val="Tahoma"/>
            <charset val="1"/>
          </rPr>
          <t>Source: Our choice
Note: Zero in every scenario. Scenario risk is carried by the weighted downside cases; adding it to the discount rate as well would count it twice. Kept as a lever for sensitivity only.</t>
        </r>
      </text>
    </comment>
    <comment ref="H184" authorId="0" shapeId="0">
      <text>
        <r>
          <rPr>
            <b/>
            <sz val="9"/>
            <color indexed="81"/>
            <rFont val="Tahoma"/>
            <charset val="1"/>
          </rPr>
          <t>Source: Our choice
Note: Zero in every scenario. Scenario risk is carried by the weighted downside cases; adding it to the discount rate as well would count it twice. Kept as a lever for sensitivity only.</t>
        </r>
      </text>
    </comment>
    <comment ref="F185" authorId="0" shapeId="0">
      <text>
        <r>
          <rPr>
            <sz val="11"/>
            <color theme="1"/>
            <rFont val="Calibri"/>
            <family val="2"/>
            <scheme val="minor"/>
          </rPr>
          <t>Source: Our est.
Note: Below the risk-free rate. Damodaran uses 4.9% (= his risk-free).</t>
        </r>
      </text>
    </comment>
    <comment ref="G185" authorId="0" shapeId="0">
      <text>
        <r>
          <rPr>
            <sz val="11"/>
            <color theme="1"/>
            <rFont val="Calibri"/>
            <family val="2"/>
            <scheme val="minor"/>
          </rPr>
          <t>Source: Our est.
Note: Below the risk-free rate. Damodaran uses 4.9% (= his risk-free).</t>
        </r>
      </text>
    </comment>
    <comment ref="H185" authorId="0" shapeId="0">
      <text>
        <r>
          <rPr>
            <sz val="11"/>
            <color theme="1"/>
            <rFont val="Calibri"/>
            <family val="2"/>
            <scheme val="minor"/>
          </rPr>
          <t>Source: Our est.
Note: Below the risk-free rate. Damodaran uses 4.9% (= his risk-free).</t>
        </r>
      </text>
    </comment>
    <comment ref="K186" authorId="0" shapeId="0">
      <text>
        <r>
          <rPr>
            <sz val="11"/>
            <color theme="1"/>
            <rFont val="Calibri"/>
            <family val="2"/>
            <scheme val="minor"/>
          </rPr>
          <t>Source: Our est.
Note: Terminal reinvestment = g / RONIC of NOPAT. Damodaran uses a 15% terminal ROIC.</t>
        </r>
      </text>
    </comment>
    <comment ref="K187" authorId="0" shapeId="0">
      <text>
        <r>
          <rPr>
            <sz val="11"/>
            <color theme="1"/>
            <rFont val="Calibri"/>
            <family val="2"/>
            <scheme val="minor"/>
          </rPr>
          <t>Source: Our est.
Note: Linear glide from H2 2026 (index 0) to the terminal level in FY2032 (index 6).</t>
        </r>
      </text>
    </comment>
    <comment ref="F188" authorId="0" shapeId="0">
      <text>
        <r>
          <rPr>
            <b/>
            <sz val="9"/>
            <color indexed="81"/>
            <rFont val="Tahoma"/>
            <charset val="1"/>
          </rPr>
          <t>Source: Our est.
Note: Damodaran uses a 10% chance of failure. We set 0% here: failure risk sits in the Commoditisation and Share loss cases.</t>
        </r>
      </text>
    </comment>
    <comment ref="G188" authorId="0" shapeId="0">
      <text>
        <r>
          <rPr>
            <b/>
            <sz val="9"/>
            <color indexed="81"/>
            <rFont val="Tahoma"/>
            <charset val="1"/>
          </rPr>
          <t>Source: Our est.
Note: Damodaran uses a 10% chance of failure. We set 0% here: failure risk sits in the Commoditisation and Share loss cases.</t>
        </r>
      </text>
    </comment>
    <comment ref="H188" authorId="0" shapeId="0">
      <text>
        <r>
          <rPr>
            <b/>
            <sz val="9"/>
            <color indexed="81"/>
            <rFont val="Tahoma"/>
            <charset val="1"/>
          </rPr>
          <t>Source: Our est.
Note: Damodaran uses a 10% chance of failure. We set 0% here: failure risk sits in the Commoditisation and Share loss cases.</t>
        </r>
      </text>
    </comment>
    <comment ref="K189" authorId="0" shapeId="0">
      <text>
        <r>
          <rPr>
            <sz val="11"/>
            <color theme="1"/>
            <rFont val="Calibri"/>
            <family val="2"/>
            <scheme val="minor"/>
          </rPr>
          <t>Source: External (Damodaran)
Note: Same as Damodaran.</t>
        </r>
      </text>
    </comment>
    <comment ref="K190" authorId="0" shapeId="0">
      <text>
        <r>
          <rPr>
            <sz val="11"/>
            <color theme="1"/>
            <rFont val="Calibri"/>
            <family val="2"/>
            <scheme val="minor"/>
          </rPr>
          <t>Source: External (Damodaran)
Note: Same as Damodaran.</t>
        </r>
      </text>
    </comment>
    <comment ref="K191" authorId="0" shapeId="0">
      <text>
        <r>
          <rPr>
            <sz val="11"/>
            <color theme="1"/>
            <rFont val="Calibri"/>
            <family val="2"/>
            <scheme val="minor"/>
          </rPr>
          <t>Source: External (Damodaran)
Note: Same as Damodaran.</t>
        </r>
      </text>
    </comment>
    <comment ref="K207" authorId="0" shapeId="0">
      <text>
        <r>
          <rPr>
            <b/>
            <sz val="9"/>
            <color indexed="81"/>
            <rFont val="Tahoma"/>
            <charset val="1"/>
          </rPr>
          <t>Source: Anthropic, PBC Form S-1 (filed 26 Oct 2026)
F-56
Note: Do not expire. Section 382: ownership changes in Oct 2021 and Sep 2023 with no limitation identified (31 Dec 2023 study); 2024-25 changes and the IPO are untested (F-57, p.106). Not limited here: the pool is small.</t>
        </r>
      </text>
    </comment>
    <comment ref="K208" authorId="0" shapeId="0">
      <text>
        <r>
          <rPr>
            <b/>
            <sz val="9"/>
            <color indexed="81"/>
            <rFont val="Tahoma"/>
            <charset val="1"/>
          </rPr>
          <t>Source: Anthropic, PBC Form S-1 (filed 26 Oct 2026)
F-56
Note: Begin to expire 2033; California has suspended NOL use at times (p.106). Not modelled separately: one 25% blended rate is applied to the federal pool (conservative; state value ~$0.2B).</t>
        </r>
      </text>
    </comment>
    <comment ref="K209" authorId="0" shapeId="0">
      <text>
        <r>
          <rPr>
            <b/>
            <sz val="9"/>
            <color indexed="81"/>
            <rFont val="Tahoma"/>
            <charset val="1"/>
          </rPr>
          <t>Source: Anthropic, PBC Form S-1 (filed 26 Oct 2026)
F-56
Note: Begin to expire 2042.</t>
        </r>
      </text>
    </comment>
    <comment ref="K210" authorId="0" shapeId="0">
      <text>
        <r>
          <rPr>
            <b/>
            <sz val="9"/>
            <color indexed="81"/>
            <rFont val="Tahoma"/>
            <charset val="1"/>
          </rPr>
          <t>Source: Anthropic, PBC Form S-1 (filed 26 Oct 2026)
F-56
Note: Carried forward indefinitely.</t>
        </r>
      </text>
    </comment>
    <comment ref="K212" authorId="0" shapeId="0">
      <text>
        <r>
          <rPr>
            <sz val="11"/>
            <color theme="1"/>
            <rFont val="Calibri"/>
            <family val="2"/>
            <scheme val="minor"/>
          </rPr>
          <t>Source: Our est. (US general business credit limit)
Note: Roughly 75% of net tax above $25k.</t>
        </r>
      </text>
    </comment>
    <comment ref="K213" authorId="0" shapeId="0">
      <text>
        <r>
          <rPr>
            <b/>
            <sz val="9"/>
            <color indexed="81"/>
            <rFont val="Tahoma"/>
            <charset val="1"/>
          </rPr>
          <t>Source: Anthropic, PBC Form S-1 (filed 26 Oct 2026)
p.25
Note: Book SBC is not deductible until awards settle, so the adjusted figure is the starting proxy for taxable operating income.</t>
        </r>
      </text>
    </comment>
    <comment ref="K215" authorId="0" shapeId="0">
      <text>
        <r>
          <rPr>
            <b/>
            <sz val="9"/>
            <color indexed="81"/>
            <rFont val="Tahoma"/>
            <charset val="1"/>
          </rPr>
          <t>Source: Anthropic, PBC Form S-1 (filed 26 Oct 2026)
F-52
Note: Deductible at exercise for non-qualified options.</t>
        </r>
      </text>
    </comment>
    <comment ref="K216" authorId="0" shapeId="0">
      <text>
        <r>
          <rPr>
            <b/>
            <sz val="9"/>
            <color indexed="81"/>
            <rFont val="Tahoma"/>
            <charset val="1"/>
          </rPr>
          <t>Source: Our est.
Note: RSUs and non-qualified options are deductible at settlement value; incentive stock options generally are not. The S-1 gives no ISO/NSO split. A judgement call.</t>
        </r>
      </text>
    </comment>
    <comment ref="K218" authorId="0" shapeId="0">
      <text>
        <r>
          <rPr>
            <sz val="11"/>
            <color theme="1"/>
            <rFont val="Calibri"/>
            <family val="2"/>
            <scheme val="minor"/>
          </rPr>
          <t>Source: US tax law (External)
Note: Post-2017 NOLs offset at most 80% of taxable income.</t>
        </r>
      </text>
    </comment>
    <comment ref="K220" authorId="0" shapeId="0">
      <text>
        <r>
          <rPr>
            <sz val="11"/>
            <color theme="1"/>
            <rFont val="Calibri"/>
            <family val="2"/>
            <scheme val="minor"/>
          </rPr>
          <t>Source: Derived
Note: Set to the cost of equity (DCF).</t>
        </r>
      </text>
    </comment>
    <comment ref="K221" authorId="0" shapeId="0">
      <text>
        <r>
          <rPr>
            <sz val="11"/>
            <color theme="1"/>
            <rFont val="Calibri"/>
            <family val="2"/>
            <scheme val="minor"/>
          </rPr>
          <t>Source: Our est.
Note: 1.80B options, average strike $2.89, ten-year terms (F-52). Spread evenly over 2027-31.</t>
        </r>
      </text>
    </comment>
    <comment ref="K222" authorId="0" shapeId="0">
      <text>
        <r>
          <rPr>
            <sz val="11"/>
            <color theme="1"/>
            <rFont val="Calibri"/>
            <family val="2"/>
            <scheme val="minor"/>
          </rPr>
          <t>Source: Our est.
Note: Approximation check. The base schedule uses the expense pattern (2.9/26.6 = 10.9% at the IPO, then the p.65 expense split) as a proxy for units settling; expense uses accelerated attribution and differing grant prices (p.174, F-53), so unit</t>
        </r>
      </text>
    </comment>
    <comment ref="K223" authorId="0" shapeId="0">
      <text>
        <r>
          <rPr>
            <b/>
            <sz val="9"/>
            <color indexed="81"/>
            <rFont val="Tahoma"/>
            <charset val="1"/>
          </rPr>
          <t>Source: Our est.
Note: Stress schedule only.</t>
        </r>
      </text>
    </comment>
    <comment ref="K224" authorId="0" shapeId="0">
      <text>
        <r>
          <rPr>
            <b/>
            <sz val="9"/>
            <color indexed="81"/>
            <rFont val="Tahoma"/>
            <charset val="1"/>
          </rPr>
          <t>Source: S-1 F-65 (Note 17)
Note: Four-year service vesting, quarterly.</t>
        </r>
      </text>
    </comment>
    <comment ref="K225" authorId="0" shapeId="0">
      <text>
        <r>
          <rPr>
            <b/>
            <sz val="9"/>
            <color indexed="81"/>
            <rFont val="Tahoma"/>
            <charset val="1"/>
          </rPr>
          <t>Source: Our est. on S-1 F-65
Note: Granted after 30 Jun 2026; first quarterly vest assumed in Q4 2026.</t>
        </r>
      </text>
    </comment>
    <comment ref="K231" authorId="0" shapeId="0">
      <text>
        <r>
          <rPr>
            <sz val="11"/>
            <color theme="1"/>
            <rFont val="Calibri"/>
            <family val="2"/>
            <scheme val="minor"/>
          </rPr>
          <t>Source: Our choice
Note: Included: the escrow secures rent we already deduct in operating cost. Excluded from the S-1's own 'liquidity'.</t>
        </r>
      </text>
    </comment>
    <comment ref="K232" authorId="0" shapeId="0">
      <text>
        <r>
          <rPr>
            <b/>
            <sz val="9"/>
            <color indexed="81"/>
            <rFont val="Tahoma"/>
            <charset val="1"/>
          </rPr>
          <t>Source: Anthropic, PBC Form S-1 (filed 26 Oct 2026)
pp.162-164
Note: Revolver $15.0B undrawn. Amazon notes are counted as shares (see Shares). Finance-lease liability $0.443B is inside the Broadcom rent schedule, so not deducted again.</t>
        </r>
      </text>
    </comment>
    <comment ref="K233" authorId="0" shapeId="0">
      <text>
        <r>
          <rPr>
            <sz val="11"/>
            <color theme="1"/>
            <rFont val="Calibri"/>
            <family val="2"/>
            <scheme val="minor"/>
          </rPr>
          <t>Source: Our choice
Note: 0 = pre-money value. If you enter proceeds, shares are added at the assumed IPO price (Dilution Calcs), so value per share is broadly unchanged.</t>
        </r>
      </text>
    </comment>
    <comment ref="K234" authorId="0" shapeId="0">
      <text>
        <r>
          <rPr>
            <b/>
            <sz val="9"/>
            <color indexed="81"/>
            <rFont val="Tahoma"/>
            <charset val="1"/>
          </rPr>
          <t>Source: Our choice (open)
Note: Opinion range: 5-15%. Damodaran says 'a much larger discount' but his sheet has none. Base 0%; Summary shows 10%.</t>
        </r>
      </text>
    </comment>
    <comment ref="K235" authorId="0" shapeId="0">
      <text>
        <r>
          <rPr>
            <b/>
            <sz val="9"/>
            <color indexed="81"/>
            <rFont val="Tahoma"/>
            <charset val="1"/>
          </rPr>
          <t>Source: Opinion range 5-15%
Note: Display only; the base uses the discount above (0%).</t>
        </r>
      </text>
    </comment>
    <comment ref="K237" authorId="0" shapeId="0">
      <text>
        <r>
          <rPr>
            <b/>
            <sz val="9"/>
            <color indexed="81"/>
            <rFont val="Tahoma"/>
            <charset val="1"/>
          </rPr>
          <t>Source: Anthropic, PBC Form S-1 (filed 26 Oct 2026)
F-60
Note: $1.5B settlement approved July 2026; $300M paid in 2025; $1.2B in current liabilities at 30 Jun. Deducted in the H2 2026 cash roll-forward.</t>
        </r>
      </text>
    </comment>
    <comment ref="F238" authorId="0" shapeId="0">
      <text>
        <r>
          <rPr>
            <sz val="11"/>
            <color theme="1"/>
            <rFont val="Calibri"/>
            <family val="2"/>
            <scheme val="minor"/>
          </rPr>
          <t>Source: Our est. on S-1 pp.13, 144
Note: Discretionary; a milestone needs the price above +50% on 90 of 120 trading days. Plateau: price never clears; base: once; bull: twice.</t>
        </r>
      </text>
    </comment>
    <comment ref="G238" authorId="0" shapeId="0">
      <text>
        <r>
          <rPr>
            <sz val="11"/>
            <color theme="1"/>
            <rFont val="Calibri"/>
            <family val="2"/>
            <scheme val="minor"/>
          </rPr>
          <t>Source: Our est. on S-1 pp.13, 144
Note: Discretionary; a milestone needs the price above +50% on 90 of 120 trading days. Plateau: price never clears; base: once; bull: twice.</t>
        </r>
      </text>
    </comment>
    <comment ref="H238" authorId="0" shapeId="0">
      <text>
        <r>
          <rPr>
            <sz val="11"/>
            <color theme="1"/>
            <rFont val="Calibri"/>
            <family val="2"/>
            <scheme val="minor"/>
          </rPr>
          <t>Source: Our est. on S-1 pp.13, 144
Note: Discretionary; a milestone needs the price above +50% on 90 of 120 trading days. Plateau: price never clears; base: once; bull: twice.</t>
        </r>
      </text>
    </comment>
    <comment ref="K239" authorId="0" shapeId="0">
      <text>
        <r>
          <rPr>
            <sz val="11"/>
            <color theme="1"/>
            <rFont val="Calibri"/>
            <family val="2"/>
            <scheme val="minor"/>
          </rPr>
          <t>Source: Our est. on S-1 F-51, p.145
Note: 933.7M Class N reserved for matching employees' equity donations at 30 Jun (F-51); ~59M issued so far in 2026. Issued shares dilute; the charge is non-cash, so it is not in operating cost.</t>
        </r>
      </text>
    </comment>
    <comment ref="K240" authorId="0" shapeId="0">
      <text>
        <r>
          <rPr>
            <b/>
            <sz val="9"/>
            <color indexed="81"/>
            <rFont val="Tahoma"/>
            <charset val="1"/>
          </rPr>
          <t>Source: Anthropic, PBC Form S-1 (filed 26 Oct 2026)
p.164 / F-65
Note: From Q4 2026.</t>
        </r>
      </text>
    </comment>
    <comment ref="K243" authorId="0" shapeId="0">
      <text>
        <r>
          <rPr>
            <b/>
            <sz val="9"/>
            <color indexed="81"/>
            <rFont val="Tahoma"/>
            <charset val="1"/>
          </rPr>
          <t xml:space="preserve">Source: Anthropic, PBC Form S-1 (filed 26 Oct 2026)
p.65
</t>
        </r>
      </text>
    </comment>
    <comment ref="K244" authorId="0" shapeId="0">
      <text>
        <r>
          <rPr>
            <b/>
            <sz val="9"/>
            <color indexed="81"/>
            <rFont val="Tahoma"/>
            <charset val="1"/>
          </rPr>
          <t>Source: Anthropic, PBC Form S-1 (filed 26 Oct 2026)
p.65
Note: Over ~2.1 years, accelerated attribution.</t>
        </r>
      </text>
    </comment>
    <comment ref="K245" authorId="0" shapeId="0">
      <text>
        <r>
          <rPr>
            <sz val="11"/>
            <color theme="1"/>
            <rFont val="Calibri"/>
            <family val="2"/>
            <scheme val="minor"/>
          </rPr>
          <t>Source: Our est.</t>
        </r>
      </text>
    </comment>
    <comment ref="K246" authorId="0" shapeId="0">
      <text>
        <r>
          <rPr>
            <sz val="11"/>
            <color theme="1"/>
            <rFont val="Calibri"/>
            <family val="2"/>
            <scheme val="minor"/>
          </rPr>
          <t>Source: Our est.</t>
        </r>
      </text>
    </comment>
    <comment ref="K247" authorId="0" shapeId="0">
      <text>
        <r>
          <rPr>
            <sz val="11"/>
            <color theme="1"/>
            <rFont val="Calibri"/>
            <family val="2"/>
            <scheme val="minor"/>
          </rPr>
          <t>Source: Our est.</t>
        </r>
      </text>
    </comment>
    <comment ref="K249" authorId="0" shapeId="0">
      <text>
        <r>
          <rPr>
            <b/>
            <sz val="9"/>
            <color indexed="81"/>
            <rFont val="Tahoma"/>
            <charset val="1"/>
          </rPr>
          <t>Source: Anthropic, PBC Form S-1 (filed 26 Oct 2026)
F-66 (Note 17)
Note: ~28.0M Class N shares issued in Oct 2026.</t>
        </r>
      </text>
    </comment>
    <comment ref="K252" authorId="0" shapeId="0">
      <text>
        <r>
          <rPr>
            <sz val="11"/>
            <color theme="1"/>
            <rFont val="Calibri"/>
            <family val="2"/>
            <scheme val="minor"/>
          </rPr>
          <t>Source: Our choice
Note: 7 rows: live -3 to +3 steps.</t>
        </r>
      </text>
    </comment>
    <comment ref="K253" authorId="0" shapeId="0">
      <text>
        <r>
          <rPr>
            <sz val="11"/>
            <color theme="1"/>
            <rFont val="Calibri"/>
            <family val="2"/>
            <scheme val="minor"/>
          </rPr>
          <t>Source: Our choice
Note: 5 columns: live -2 to +2 steps.</t>
        </r>
      </text>
    </comment>
    <comment ref="K254" authorId="0" shapeId="0">
      <text>
        <r>
          <rPr>
            <sz val="11"/>
            <color theme="1"/>
            <rFont val="Calibri"/>
            <family val="2"/>
            <scheme val="minor"/>
          </rPr>
          <t>Source: Our choice</t>
        </r>
      </text>
    </comment>
    <comment ref="K255" authorId="0" shapeId="0">
      <text>
        <r>
          <rPr>
            <sz val="11"/>
            <color theme="1"/>
            <rFont val="Calibri"/>
            <family val="2"/>
            <scheme val="minor"/>
          </rPr>
          <t>Source: Our choice</t>
        </r>
      </text>
    </comment>
    <comment ref="K256" authorId="0" shapeId="0">
      <text>
        <r>
          <rPr>
            <sz val="11"/>
            <color theme="1"/>
            <rFont val="Calibri"/>
            <family val="2"/>
            <scheme val="minor"/>
          </rPr>
          <t>Source: External (press talk)
Note: Reuters 15 Oct: talk fell from ~$2T to ~$1.5T. Price is blank in the S-1.</t>
        </r>
      </text>
    </comment>
    <comment ref="K257" authorId="0" shapeId="0">
      <text>
        <r>
          <rPr>
            <sz val="11"/>
            <color theme="1"/>
            <rFont val="Calibri"/>
            <family val="2"/>
            <scheme val="minor"/>
          </rPr>
          <t>Source: External (press talk)</t>
        </r>
      </text>
    </comment>
    <comment ref="K260" authorId="0" shapeId="0">
      <text>
        <r>
          <rPr>
            <b/>
            <sz val="9"/>
            <color indexed="81"/>
            <rFont val="Tahoma"/>
            <charset val="1"/>
          </rPr>
          <t>Source: Convention
Note: Historicals are in US$M; the model is in US$B.</t>
        </r>
      </text>
    </comment>
    <comment ref="K261" authorId="0" shapeId="0">
      <text>
        <r>
          <rPr>
            <b/>
            <sz val="9"/>
            <color indexed="81"/>
            <rFont val="Tahoma"/>
            <charset val="1"/>
          </rPr>
          <t>Source: Convention
Note: Used to annualise quarterly figures and for quarterly lease payments.</t>
        </r>
      </text>
    </comment>
    <comment ref="K262" authorId="0" shapeId="0">
      <text>
        <r>
          <rPr>
            <b/>
            <sz val="9"/>
            <color indexed="81"/>
            <rFont val="Tahoma"/>
            <charset val="1"/>
          </rPr>
          <t>Source: Convention
Note: SpaceXAI fees are monthly.</t>
        </r>
      </text>
    </comment>
    <comment ref="K263" authorId="0" shapeId="0">
      <text>
        <r>
          <rPr>
            <b/>
            <sz val="9"/>
            <color indexed="81"/>
            <rFont val="Tahoma"/>
            <charset val="1"/>
          </rPr>
          <t>Source: Our choice
Note: All cash flows are discounted to this date. Mid-period discounting uses period midpoints less this date.</t>
        </r>
      </text>
    </comment>
    <comment ref="K264" authorId="0" shapeId="0">
      <text>
        <r>
          <rPr>
            <b/>
            <sz val="9"/>
            <color indexed="81"/>
            <rFont val="Tahoma"/>
            <charset val="1"/>
          </rPr>
          <t>Source: Our est. (S-1 filed 26 Oct 2026; pricing date blank)
Note: Award settlement timing (Tax Schedule) is measured from this date.</t>
        </r>
      </text>
    </comment>
    <comment ref="K265" authorId="0" shapeId="0">
      <text>
        <r>
          <rPr>
            <b/>
            <sz val="9"/>
            <color indexed="81"/>
            <rFont val="Tahoma"/>
            <charset val="1"/>
          </rPr>
          <t>Source: Convention
Note: Glide index = fiscal year less this year.</t>
        </r>
      </text>
    </comment>
    <comment ref="K266" authorId="0" shapeId="0">
      <text>
        <r>
          <rPr>
            <b/>
            <sz val="9"/>
            <color indexed="81"/>
            <rFont val="Tahoma"/>
            <charset val="1"/>
          </rPr>
          <t>Source: Convention
Note: Cash flows arrive mid-year on average; the terminal value is placed on the same basis.</t>
        </r>
      </text>
    </comment>
    <comment ref="K267" authorId="0" shapeId="0">
      <text>
        <r>
          <rPr>
            <b/>
            <sz val="9"/>
            <color indexed="81"/>
            <rFont val="Tahoma"/>
            <charset val="1"/>
          </rPr>
          <t>Source: Convention
Note: Five years from FY2026 to FY2031.</t>
        </r>
      </text>
    </comment>
    <comment ref="K268" authorId="0" shapeId="0">
      <text>
        <r>
          <rPr>
            <b/>
            <sz val="9"/>
            <color indexed="81"/>
            <rFont val="Tahoma"/>
            <charset val="1"/>
          </rPr>
          <t>Source: Our est. on S-1 p.158
Note: H2 interest = 2 x Q2 2026 ($762M), as the cash balance is broadly flat into the IPO.</t>
        </r>
      </text>
    </comment>
    <comment ref="K269" authorId="0" shapeId="0">
      <text>
        <r>
          <rPr>
            <b/>
            <sz val="9"/>
            <color indexed="81"/>
            <rFont val="Tahoma"/>
            <charset val="1"/>
          </rPr>
          <t>Source: Our choice
Note: A floor 'binds', a case is 'financing-contingent', etc. only above $1M, so rounding noise never flags.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StreetCred</author>
  </authors>
  <commentList>
    <comment ref="E8" authorId="0" shapeId="0">
      <text>
        <r>
          <rPr>
            <b/>
            <sz val="9"/>
            <color indexed="81"/>
            <rFont val="Tahoma"/>
            <charset val="1"/>
          </rPr>
          <t>Source: Anthropic, PBC Form S-1 (filed 26 Oct 2026)
p.171
Note: Non-cancellable; true-up. Apr 2026 - Jul 2033. Ramp 1.5 yrs (Our est.).</t>
        </r>
      </text>
    </comment>
    <comment ref="F8" authorId="0" shapeId="0">
      <text>
        <r>
          <rPr>
            <b/>
            <sz val="9"/>
            <color indexed="81"/>
            <rFont val="Tahoma"/>
            <charset val="1"/>
          </rPr>
          <t>Source: Anthropic, PBC Form S-1 (filed 26 Oct 2026)
p.171
Note: Non-cancellable; true-up. Apr 2026 - Jul 2033. Ramp 1.5 yrs (Our est.).</t>
        </r>
      </text>
    </comment>
    <comment ref="G8" authorId="0" shapeId="0">
      <text>
        <r>
          <rPr>
            <b/>
            <sz val="9"/>
            <color indexed="81"/>
            <rFont val="Tahoma"/>
            <charset val="1"/>
          </rPr>
          <t>Source: Anthropic, PBC Form S-1 (filed 26 Oct 2026)
p.171
Note: Non-cancellable; true-up. Apr 2026 - Jul 2033. Ramp 1.5 yrs (Our est.).</t>
        </r>
      </text>
    </comment>
    <comment ref="H8" authorId="0" shapeId="0">
      <text>
        <r>
          <rPr>
            <b/>
            <sz val="9"/>
            <color indexed="81"/>
            <rFont val="Tahoma"/>
            <charset val="1"/>
          </rPr>
          <t>Source: Anthropic, PBC Form S-1 (filed 26 Oct 2026)
p.171
Note: Non-cancellable; true-up. Apr 2026 - Jul 2033. Ramp 1.5 yrs (Our est.).</t>
        </r>
      </text>
    </comment>
    <comment ref="I8" authorId="0" shapeId="0">
      <text>
        <r>
          <rPr>
            <b/>
            <sz val="9"/>
            <color indexed="81"/>
            <rFont val="Tahoma"/>
            <charset val="1"/>
          </rPr>
          <t>Source: Anthropic, PBC Form S-1 (filed 26 Oct 2026)
p.171
Note: Non-cancellable; true-up. Apr 2026 - Jul 2033. Ramp 1.5 yrs (Our est.).</t>
        </r>
      </text>
    </comment>
    <comment ref="E9" authorId="0" shapeId="0">
      <text>
        <r>
          <rPr>
            <b/>
            <sz val="9"/>
            <color indexed="81"/>
            <rFont val="Tahoma"/>
            <charset val="1"/>
          </rPr>
          <t>Source: Anthropic, PBC Form S-1 (filed 26 Oct 2026)
p.172
Note: Non-cancellable; true-up. May 2026 - Apr 2036.</t>
        </r>
      </text>
    </comment>
    <comment ref="F9" authorId="0" shapeId="0">
      <text>
        <r>
          <rPr>
            <b/>
            <sz val="9"/>
            <color indexed="81"/>
            <rFont val="Tahoma"/>
            <charset val="1"/>
          </rPr>
          <t>Source: Anthropic, PBC Form S-1 (filed 26 Oct 2026)
p.172
Note: Non-cancellable; true-up. May 2026 - Apr 2036.</t>
        </r>
      </text>
    </comment>
    <comment ref="G9" authorId="0" shapeId="0">
      <text>
        <r>
          <rPr>
            <b/>
            <sz val="9"/>
            <color indexed="81"/>
            <rFont val="Tahoma"/>
            <charset val="1"/>
          </rPr>
          <t>Source: Anthropic, PBC Form S-1 (filed 26 Oct 2026)
p.172
Note: Non-cancellable; true-up. May 2026 - Apr 2036.</t>
        </r>
      </text>
    </comment>
    <comment ref="H9" authorId="0" shapeId="0">
      <text>
        <r>
          <rPr>
            <b/>
            <sz val="9"/>
            <color indexed="81"/>
            <rFont val="Tahoma"/>
            <charset val="1"/>
          </rPr>
          <t>Source: Anthropic, PBC Form S-1 (filed 26 Oct 2026)
p.172
Note: Non-cancellable; true-up. May 2026 - Apr 2036.</t>
        </r>
      </text>
    </comment>
    <comment ref="I9" authorId="0" shapeId="0">
      <text>
        <r>
          <rPr>
            <b/>
            <sz val="9"/>
            <color indexed="81"/>
            <rFont val="Tahoma"/>
            <charset val="1"/>
          </rPr>
          <t>Source: Anthropic, PBC Form S-1 (filed 26 Oct 2026)
p.172
Note: Non-cancellable; true-up. May 2026 - Apr 2036.</t>
        </r>
      </text>
    </comment>
    <comment ref="E10" authorId="0" shapeId="0">
      <text>
        <r>
          <rPr>
            <b/>
            <sz val="9"/>
            <color indexed="81"/>
            <rFont val="Tahoma"/>
            <charset val="1"/>
          </rPr>
          <t>Source: Anthropic, PBC Form S-1 (filed 26 Oct 2026)
p.171
Note: Non-cancellable (per-tranche exceptions). Nov 2026 - May 2033.</t>
        </r>
      </text>
    </comment>
    <comment ref="F10" authorId="0" shapeId="0">
      <text>
        <r>
          <rPr>
            <b/>
            <sz val="9"/>
            <color indexed="81"/>
            <rFont val="Tahoma"/>
            <charset val="1"/>
          </rPr>
          <t>Source: Anthropic, PBC Form S-1 (filed 26 Oct 2026)
p.171
Note: Non-cancellable (per-tranche exceptions). Nov 2026 - May 2033.</t>
        </r>
      </text>
    </comment>
    <comment ref="G10" authorId="0" shapeId="0">
      <text>
        <r>
          <rPr>
            <b/>
            <sz val="9"/>
            <color indexed="81"/>
            <rFont val="Tahoma"/>
            <charset val="1"/>
          </rPr>
          <t>Source: Anthropic, PBC Form S-1 (filed 26 Oct 2026)
p.171
Note: Non-cancellable (per-tranche exceptions). Nov 2026 - May 2033.</t>
        </r>
      </text>
    </comment>
    <comment ref="H10" authorId="0" shapeId="0">
      <text>
        <r>
          <rPr>
            <b/>
            <sz val="9"/>
            <color indexed="81"/>
            <rFont val="Tahoma"/>
            <charset val="1"/>
          </rPr>
          <t>Source: Anthropic, PBC Form S-1 (filed 26 Oct 2026)
p.171
Note: Non-cancellable (per-tranche exceptions). Nov 2026 - May 2033.</t>
        </r>
      </text>
    </comment>
    <comment ref="I10" authorId="0" shapeId="0">
      <text>
        <r>
          <rPr>
            <b/>
            <sz val="9"/>
            <color indexed="81"/>
            <rFont val="Tahoma"/>
            <charset val="1"/>
          </rPr>
          <t>Source: Anthropic, PBC Form S-1 (filed 26 Oct 2026)
p.171
Note: Non-cancellable (per-tranche exceptions). Nov 2026 - May 2033.</t>
        </r>
      </text>
    </comment>
    <comment ref="E11" authorId="0" shapeId="0">
      <text>
        <r>
          <rPr>
            <b/>
            <sz val="9"/>
            <color indexed="81"/>
            <rFont val="Tahoma"/>
            <charset val="1"/>
          </rPr>
          <t>Source: Anthropic, PBC Form S-1 (filed 26 Oct 2026)
p.75, p.172
Note: Five-year finance lease, non-cancellable except default. 'additional capacity ... starting in 2027' -&gt; start 2027 (Our est.). Amount excludes interest.</t>
        </r>
      </text>
    </comment>
    <comment ref="F11" authorId="0" shapeId="0">
      <text>
        <r>
          <rPr>
            <b/>
            <sz val="9"/>
            <color indexed="81"/>
            <rFont val="Tahoma"/>
            <charset val="1"/>
          </rPr>
          <t>Source: Anthropic, PBC Form S-1 (filed 26 Oct 2026)
p.75, p.172
Note: Five-year finance lease, non-cancellable except default. 'additional capacity ... starting in 2027' -&gt; start 2027 (Our est.). Amount excludes interest.</t>
        </r>
      </text>
    </comment>
    <comment ref="G11" authorId="0" shapeId="0">
      <text>
        <r>
          <rPr>
            <b/>
            <sz val="9"/>
            <color indexed="81"/>
            <rFont val="Tahoma"/>
            <charset val="1"/>
          </rPr>
          <t>Source: Anthropic, PBC Form S-1 (filed 26 Oct 2026)
p.75, p.172
Note: Five-year finance lease, non-cancellable except default. 'additional capacity ... starting in 2027' -&gt; start 2027 (Our est.). Amount excludes interest.</t>
        </r>
      </text>
    </comment>
    <comment ref="I11" authorId="0" shapeId="0">
      <text>
        <r>
          <rPr>
            <b/>
            <sz val="9"/>
            <color indexed="81"/>
            <rFont val="Tahoma"/>
            <charset val="1"/>
          </rPr>
          <t>Source: Anthropic, PBC Form S-1 (filed 26 Oct 2026)
p.75, p.172
Note: Five-year finance lease, non-cancellable except default. 'additional capacity ... starting in 2027' -&gt; start 2027 (Our est.). Amount excludes interest.</t>
        </r>
      </text>
    </comment>
    <comment ref="E12" authorId="0" shapeId="0">
      <text>
        <r>
          <rPr>
            <b/>
            <sz val="9"/>
            <color indexed="81"/>
            <rFont val="Tahoma"/>
            <charset val="1"/>
          </rPr>
          <t>Source: Derived: S-1 p.172 'excluding interest' + F-35 7.1%
Note: Interest on level quarterly rent at 7.1%. Spread with the principal profile (simplification: true interest is front-loaded within each lease).</t>
        </r>
      </text>
    </comment>
    <comment ref="G12" authorId="0" shapeId="0">
      <text>
        <r>
          <rPr>
            <b/>
            <sz val="9"/>
            <color indexed="81"/>
            <rFont val="Tahoma"/>
            <charset val="1"/>
          </rPr>
          <t>Source: Derived: S-1 p.172 'excluding interest' + F-35 7.1%
Note: Interest on level quarterly rent at 7.1%. Spread with the principal profile (simplification: true interest is front-loaded within each lease).</t>
        </r>
      </text>
    </comment>
    <comment ref="I12" authorId="0" shapeId="0">
      <text>
        <r>
          <rPr>
            <b/>
            <sz val="9"/>
            <color indexed="81"/>
            <rFont val="Tahoma"/>
            <charset val="1"/>
          </rPr>
          <t>Source: Derived: S-1 p.172 'excluding interest' + F-35 7.1%
Note: Interest on level quarterly rent at 7.1%. Spread with the principal profile (simplification: true interest is front-loaded within each lease).</t>
        </r>
      </text>
    </comment>
    <comment ref="E13" authorId="0" shapeId="0">
      <text>
        <r>
          <rPr>
            <b/>
            <sz val="9"/>
            <color indexed="81"/>
            <rFont val="Tahoma"/>
            <charset val="1"/>
          </rPr>
          <t>Source: Derived (161.2 - 125.2)
Note: A portion came online in 2026 (p.172). Not itemised.</t>
        </r>
      </text>
    </comment>
    <comment ref="G13" authorId="0" shapeId="0">
      <text>
        <r>
          <rPr>
            <b/>
            <sz val="9"/>
            <color indexed="81"/>
            <rFont val="Tahoma"/>
            <charset val="1"/>
          </rPr>
          <t>Source: Derived (161.2 - 125.2)
Note: A portion came online in 2026 (p.172). Not itemised.</t>
        </r>
      </text>
    </comment>
    <comment ref="I13" authorId="0" shapeId="0">
      <text>
        <r>
          <rPr>
            <b/>
            <sz val="9"/>
            <color indexed="81"/>
            <rFont val="Tahoma"/>
            <charset val="1"/>
          </rPr>
          <t>Source: Derived (161.2 - 125.2)
Note: A portion came online in 2026 (p.172). Not itemised.</t>
        </r>
      </text>
    </comment>
    <comment ref="E14" authorId="0" shapeId="0">
      <text>
        <r>
          <rPr>
            <b/>
            <sz val="9"/>
            <color indexed="81"/>
            <rFont val="Tahoma"/>
            <charset val="1"/>
          </rPr>
          <t>Source: Derived: S-1 p.172 + F-35
Note: As above.</t>
        </r>
      </text>
    </comment>
    <comment ref="G14" authorId="0" shapeId="0">
      <text>
        <r>
          <rPr>
            <b/>
            <sz val="9"/>
            <color indexed="81"/>
            <rFont val="Tahoma"/>
            <charset val="1"/>
          </rPr>
          <t>Source: Derived: S-1 p.172 + F-35
Note: As above.</t>
        </r>
      </text>
    </comment>
    <comment ref="I14" authorId="0" shapeId="0">
      <text>
        <r>
          <rPr>
            <b/>
            <sz val="9"/>
            <color indexed="81"/>
            <rFont val="Tahoma"/>
            <charset val="1"/>
          </rPr>
          <t>Source: Derived: S-1 p.172 + F-35
Note: As above.</t>
        </r>
      </text>
    </comment>
    <comment ref="E15" authorId="0" shapeId="0">
      <text>
        <r>
          <rPr>
            <b/>
            <sz val="9"/>
            <color indexed="81"/>
            <rFont val="Tahoma"/>
            <charset val="1"/>
          </rPr>
          <t>Source: Derived from S-1 p.172
Note: Ramp May-Dec 2026, full ~$3.1B/month from Dec 2026 (all agreements); either party may cancel after the lock-in on 90 days' notice.</t>
        </r>
      </text>
    </comment>
    <comment ref="G15" authorId="0" shapeId="0">
      <text>
        <r>
          <rPr>
            <b/>
            <sz val="9"/>
            <color indexed="81"/>
            <rFont val="Tahoma"/>
            <charset val="1"/>
          </rPr>
          <t>Source: Derived from S-1 p.172
Note: Ramp May-Dec 2026, full ~$3.1B/month from Dec 2026 (all agreements); either party may cancel after the lock-in on 90 days' notice.</t>
        </r>
      </text>
    </comment>
    <comment ref="I15" authorId="0" shapeId="0">
      <text>
        <r>
          <rPr>
            <b/>
            <sz val="9"/>
            <color indexed="81"/>
            <rFont val="Tahoma"/>
            <charset val="1"/>
          </rPr>
          <t>Source: Derived from S-1 p.172
Note: Ramp May-Dec 2026, full ~$3.1B/month from Dec 2026 (all agreements); either party may cancel after the lock-in on 90 days' notice.</t>
        </r>
      </text>
    </comment>
    <comment ref="E16" authorId="0" shapeId="0">
      <text>
        <r>
          <rPr>
            <b/>
            <sz val="9"/>
            <color indexed="81"/>
            <rFont val="Tahoma"/>
            <charset val="1"/>
          </rPr>
          <t>Source: Derived from S-1 p.172
Note: As above, later lock-in.</t>
        </r>
      </text>
    </comment>
    <comment ref="G16" authorId="0" shapeId="0">
      <text>
        <r>
          <rPr>
            <b/>
            <sz val="9"/>
            <color indexed="81"/>
            <rFont val="Tahoma"/>
            <charset val="1"/>
          </rPr>
          <t>Source: Derived from S-1 p.172
Note: As above, later lock-in.</t>
        </r>
      </text>
    </comment>
    <comment ref="I16" authorId="0" shapeId="0">
      <text>
        <r>
          <rPr>
            <b/>
            <sz val="9"/>
            <color indexed="81"/>
            <rFont val="Tahoma"/>
            <charset val="1"/>
          </rPr>
          <t>Source: Derived from S-1 p.172
Note: As above, later lock-in.</t>
        </r>
      </text>
    </comment>
    <comment ref="E17" authorId="0" shapeId="0">
      <text>
        <r>
          <rPr>
            <b/>
            <sz val="9"/>
            <color indexed="81"/>
            <rFont val="Tahoma"/>
            <charset val="1"/>
          </rPr>
          <t>Source: Derived: S-1 p.172 rate; endpoint External
Note: Cancellable on 90 days: not a floor in any scenario (uptake 0%).</t>
        </r>
      </text>
    </comment>
    <comment ref="I17" authorId="0" shapeId="0">
      <text>
        <r>
          <rPr>
            <b/>
            <sz val="9"/>
            <color indexed="81"/>
            <rFont val="Tahoma"/>
            <charset val="1"/>
          </rPr>
          <t>Source: Derived: S-1 p.172 rate; endpoint External
Note: Cancellable on 90 days: not a floor in any scenario (uptake 0%).</t>
        </r>
      </text>
    </comment>
    <comment ref="E18" authorId="0" shapeId="0">
      <text>
        <r>
          <rPr>
            <b/>
            <sz val="9"/>
            <color indexed="81"/>
            <rFont val="Tahoma"/>
            <charset val="1"/>
          </rPr>
          <t>Source: Derived: S-1 p.172 rate; endpoint External
Note: As above.</t>
        </r>
      </text>
    </comment>
    <comment ref="I18" authorId="0" shapeId="0">
      <text>
        <r>
          <rPr>
            <b/>
            <sz val="9"/>
            <color indexed="81"/>
            <rFont val="Tahoma"/>
            <charset val="1"/>
          </rPr>
          <t>Source: Derived: S-1 p.172 rate; endpoint External
Note: As above.</t>
        </r>
      </text>
    </comment>
    <comment ref="E19" authorId="0" shapeId="0">
      <text>
        <r>
          <rPr>
            <b/>
            <sz val="9"/>
            <color indexed="81"/>
            <rFont val="Tahoma"/>
            <charset val="1"/>
          </rPr>
          <t>Source: Derived: S-1 p.172 ceiling
Note: Not a payment forecast: the amended ceiling exceeds the contract-rate path to SpaceX's May 2029 endpoint. Included only so the bucket ties to $120.5B.</t>
        </r>
      </text>
    </comment>
    <comment ref="I19" authorId="0" shapeId="0">
      <text>
        <r>
          <rPr>
            <b/>
            <sz val="9"/>
            <color indexed="81"/>
            <rFont val="Tahoma"/>
            <charset val="1"/>
          </rPr>
          <t>Source: Derived: S-1 p.172 ceiling
Note: Not a payment forecast: the amended ceiling exceeds the contract-rate path to SpaceX's May 2029 endpoint. Included only so the bucket ties to $120.5B.</t>
        </r>
      </text>
    </comment>
    <comment ref="E20" authorId="0" shapeId="0">
      <text>
        <r>
          <rPr>
            <b/>
            <sz val="9"/>
            <color indexed="81"/>
            <rFont val="Tahoma"/>
            <charset val="1"/>
          </rPr>
          <t>Source: Anthropic, PBC Form S-1 (filed 26 Oct 2026)
p.172
Note: Fees accrue only as capacity is delivered and accepted; into 2033.</t>
        </r>
      </text>
    </comment>
    <comment ref="F20" authorId="0" shapeId="0">
      <text>
        <r>
          <rPr>
            <b/>
            <sz val="9"/>
            <color indexed="81"/>
            <rFont val="Tahoma"/>
            <charset val="1"/>
          </rPr>
          <t>Source: Anthropic, PBC Form S-1 (filed 26 Oct 2026)
p.172
Note: Fees accrue only as capacity is delivered and accepted; into 2033.</t>
        </r>
      </text>
    </comment>
    <comment ref="G20" authorId="0" shapeId="0">
      <text>
        <r>
          <rPr>
            <b/>
            <sz val="9"/>
            <color indexed="81"/>
            <rFont val="Tahoma"/>
            <charset val="1"/>
          </rPr>
          <t>Source: Anthropic, PBC Form S-1 (filed 26 Oct 2026)
p.172
Note: Fees accrue only as capacity is delivered and accepted; into 2033.</t>
        </r>
      </text>
    </comment>
    <comment ref="H20" authorId="0" shapeId="0">
      <text>
        <r>
          <rPr>
            <b/>
            <sz val="9"/>
            <color indexed="81"/>
            <rFont val="Tahoma"/>
            <charset val="1"/>
          </rPr>
          <t>Source: Anthropic, PBC Form S-1 (filed 26 Oct 2026)
p.172
Note: Fees accrue only as capacity is delivered and accepted; into 2033.</t>
        </r>
      </text>
    </comment>
    <comment ref="I20" authorId="0" shapeId="0">
      <text>
        <r>
          <rPr>
            <b/>
            <sz val="9"/>
            <color indexed="81"/>
            <rFont val="Tahoma"/>
            <charset val="1"/>
          </rPr>
          <t>Source: Anthropic, PBC Form S-1 (filed 26 Oct 2026)
p.172
Note: Fees accrue only as capacity is delivered and accepted; into 2033.</t>
        </r>
      </text>
    </comment>
    <comment ref="E21" authorId="0" shapeId="0">
      <text>
        <r>
          <rPr>
            <b/>
            <sz val="9"/>
            <color indexed="81"/>
            <rFont val="Tahoma"/>
            <charset val="1"/>
          </rPr>
          <t>Source: Anthropic, PBC Form S-1 (filed 26 Oct 2026)
p.172
Note: Paid as delivered; $34.9B terminable if Lambda doesn't secure the lease; into 2034.</t>
        </r>
      </text>
    </comment>
    <comment ref="F21" authorId="0" shapeId="0">
      <text>
        <r>
          <rPr>
            <b/>
            <sz val="9"/>
            <color indexed="81"/>
            <rFont val="Tahoma"/>
            <charset val="1"/>
          </rPr>
          <t>Source: Anthropic, PBC Form S-1 (filed 26 Oct 2026)
p.172
Note: Paid as delivered; $34.9B terminable if Lambda doesn't secure the lease; into 2034.</t>
        </r>
      </text>
    </comment>
    <comment ref="G21" authorId="0" shapeId="0">
      <text>
        <r>
          <rPr>
            <b/>
            <sz val="9"/>
            <color indexed="81"/>
            <rFont val="Tahoma"/>
            <charset val="1"/>
          </rPr>
          <t>Source: Anthropic, PBC Form S-1 (filed 26 Oct 2026)
p.172
Note: Paid as delivered; $34.9B terminable if Lambda doesn't secure the lease; into 2034.</t>
        </r>
      </text>
    </comment>
    <comment ref="H21" authorId="0" shapeId="0">
      <text>
        <r>
          <rPr>
            <b/>
            <sz val="9"/>
            <color indexed="81"/>
            <rFont val="Tahoma"/>
            <charset val="1"/>
          </rPr>
          <t>Source: Anthropic, PBC Form S-1 (filed 26 Oct 2026)
p.172
Note: Paid as delivered; $34.9B terminable if Lambda doesn't secure the lease; into 2034.</t>
        </r>
      </text>
    </comment>
    <comment ref="I21" authorId="0" shapeId="0">
      <text>
        <r>
          <rPr>
            <b/>
            <sz val="9"/>
            <color indexed="81"/>
            <rFont val="Tahoma"/>
            <charset val="1"/>
          </rPr>
          <t>Source: Anthropic, PBC Form S-1 (filed 26 Oct 2026)
p.172
Note: Paid as delivered; $34.9B terminable if Lambda doesn't secure the lease; into 2034.</t>
        </r>
      </text>
    </comment>
    <comment ref="E22" authorId="0" shapeId="0">
      <text>
        <r>
          <rPr>
            <b/>
            <sz val="9"/>
            <color indexed="81"/>
            <rFont val="Tahoma"/>
            <charset val="1"/>
          </rPr>
          <t>Source: Anthropic, PBC Form S-1 (filed 26 Oct 2026)
p.171
Note: Delivered 2028-31, payable after delivery. Midpoint of $125-150B. Excluded from the S-1 table.</t>
        </r>
      </text>
    </comment>
    <comment ref="G22" authorId="0" shapeId="0">
      <text>
        <r>
          <rPr>
            <b/>
            <sz val="9"/>
            <color indexed="81"/>
            <rFont val="Tahoma"/>
            <charset val="1"/>
          </rPr>
          <t>Source: Anthropic, PBC Form S-1 (filed 26 Oct 2026)
p.171
Note: Delivered 2028-31, payable after delivery. Midpoint of $125-150B. Excluded from the S-1 table.</t>
        </r>
      </text>
    </comment>
    <comment ref="H22" authorId="0" shapeId="0">
      <text>
        <r>
          <rPr>
            <b/>
            <sz val="9"/>
            <color indexed="81"/>
            <rFont val="Tahoma"/>
            <charset val="1"/>
          </rPr>
          <t>Source: Anthropic, PBC Form S-1 (filed 26 Oct 2026)
p.171
Note: Delivered 2028-31, payable after delivery. Midpoint of $125-150B. Excluded from the S-1 table.</t>
        </r>
      </text>
    </comment>
    <comment ref="I22" authorId="0" shapeId="0">
      <text>
        <r>
          <rPr>
            <b/>
            <sz val="9"/>
            <color indexed="81"/>
            <rFont val="Tahoma"/>
            <charset val="1"/>
          </rPr>
          <t>Source: Anthropic, PBC Form S-1 (filed 26 Oct 2026)
p.171
Note: Delivered 2028-31, payable after delivery. Midpoint of $125-150B. Excluded from the S-1 table.</t>
        </r>
      </text>
    </comment>
    <comment ref="E23" authorId="0" shapeId="0">
      <text>
        <r>
          <rPr>
            <b/>
            <sz val="9"/>
            <color indexed="81"/>
            <rFont val="Tahoma"/>
            <charset val="1"/>
          </rPr>
          <t>Source: Anthropic, PBC Form S-1 (filed 26 Oct 2026)
p.172
Note: 'expect aggregate expenditures to exceed $20.0 billion'; option for about as much again (not modelled).</t>
        </r>
      </text>
    </comment>
    <comment ref="F23" authorId="0" shapeId="0">
      <text>
        <r>
          <rPr>
            <b/>
            <sz val="9"/>
            <color indexed="81"/>
            <rFont val="Tahoma"/>
            <charset val="1"/>
          </rPr>
          <t>Source: Anthropic, PBC Form S-1 (filed 26 Oct 2026)
p.172
Note: 'expect aggregate expenditures to exceed $20.0 billion'; option for about as much again (not modelled).</t>
        </r>
      </text>
    </comment>
    <comment ref="G23" authorId="0" shapeId="0">
      <text>
        <r>
          <rPr>
            <b/>
            <sz val="9"/>
            <color indexed="81"/>
            <rFont val="Tahoma"/>
            <charset val="1"/>
          </rPr>
          <t>Source: Anthropic, PBC Form S-1 (filed 26 Oct 2026)
p.172
Note: 'expect aggregate expenditures to exceed $20.0 billion'; option for about as much again (not modelled).</t>
        </r>
      </text>
    </comment>
    <comment ref="H23" authorId="0" shapeId="0">
      <text>
        <r>
          <rPr>
            <b/>
            <sz val="9"/>
            <color indexed="81"/>
            <rFont val="Tahoma"/>
            <charset val="1"/>
          </rPr>
          <t>Source: Anthropic, PBC Form S-1 (filed 26 Oct 2026)
p.172
Note: 'expect aggregate expenditures to exceed $20.0 billion'; option for about as much again (not modelled).</t>
        </r>
      </text>
    </comment>
    <comment ref="I23" authorId="0" shapeId="0">
      <text>
        <r>
          <rPr>
            <b/>
            <sz val="9"/>
            <color indexed="81"/>
            <rFont val="Tahoma"/>
            <charset val="1"/>
          </rPr>
          <t>Source: Anthropic, PBC Form S-1 (filed 26 Oct 2026)
p.172
Note: 'expect aggregate expenditures to exceed $20.0 billion'; option for about as much again (not modelled).</t>
        </r>
      </text>
    </comment>
    <comment ref="E24" authorId="0" shapeId="0">
      <text>
        <r>
          <rPr>
            <b/>
            <sz val="9"/>
            <color indexed="81"/>
            <rFont val="Tahoma"/>
            <charset val="1"/>
          </rPr>
          <t>Source: Anthropic, PBC Form S-1 (filed 26 Oct 2026)
F-65/66
Note: Minimum non-cancellable, short term.</t>
        </r>
      </text>
    </comment>
    <comment ref="G24" authorId="0" shapeId="0">
      <text>
        <r>
          <rPr>
            <b/>
            <sz val="9"/>
            <color indexed="81"/>
            <rFont val="Tahoma"/>
            <charset val="1"/>
          </rPr>
          <t>Source: Anthropic, PBC Form S-1 (filed 26 Oct 2026)
F-65/66
Note: Minimum non-cancellable, short term.</t>
        </r>
      </text>
    </comment>
    <comment ref="H24" authorId="0" shapeId="0">
      <text>
        <r>
          <rPr>
            <b/>
            <sz val="9"/>
            <color indexed="81"/>
            <rFont val="Tahoma"/>
            <charset val="1"/>
          </rPr>
          <t>Source: Anthropic, PBC Form S-1 (filed 26 Oct 2026)
F-65/66
Note: Minimum non-cancellable, short term.</t>
        </r>
      </text>
    </comment>
    <comment ref="I24" authorId="0" shapeId="0">
      <text>
        <r>
          <rPr>
            <b/>
            <sz val="9"/>
            <color indexed="81"/>
            <rFont val="Tahoma"/>
            <charset val="1"/>
          </rPr>
          <t>Source: Anthropic, PBC Form S-1 (filed 26 Oct 2026)
F-65/66
Note: Minimum non-cancellable, short term.</t>
        </r>
      </text>
    </comment>
    <comment ref="E25" authorId="0" shapeId="0">
      <text>
        <r>
          <rPr>
            <b/>
            <sz val="9"/>
            <color indexed="81"/>
            <rFont val="Tahoma"/>
            <charset val="1"/>
          </rPr>
          <t>Source: Derived: 832 - 637 named - Broadcom interest
Note: The leases note ($321.4B) is undiscounted, so it already contains Broadcom's interest; that interest is now scheduled explicitly above and taken out of this plug. p.33: post-2030 commitments fall 'substantially all' in 2031-2045. A ceiling:</t>
        </r>
      </text>
    </comment>
    <comment ref="G25" authorId="0" shapeId="0">
      <text>
        <r>
          <rPr>
            <b/>
            <sz val="9"/>
            <color indexed="81"/>
            <rFont val="Tahoma"/>
            <charset val="1"/>
          </rPr>
          <t>Source: Derived: 832 - 637 named - Broadcom interest
Note: The leases note ($321.4B) is undiscounted, so it already contains Broadcom's interest; that interest is now scheduled explicitly above and taken out of this plug. p.33: post-2030 commitments fall 'substantially all' in 2031-2045. A ceiling:</t>
        </r>
      </text>
    </comment>
    <comment ref="H25" authorId="0" shapeId="0">
      <text>
        <r>
          <rPr>
            <b/>
            <sz val="9"/>
            <color indexed="81"/>
            <rFont val="Tahoma"/>
            <charset val="1"/>
          </rPr>
          <t>Source: Derived: 832 - 637 named - Broadcom interest
Note: The leases note ($321.4B) is undiscounted, so it already contains Broadcom's interest; that interest is now scheduled explicitly above and taken out of this plug. p.33: post-2030 commitments fall 'substantially all' in 2031-2045. A ceiling:</t>
        </r>
      </text>
    </comment>
    <comment ref="I25" authorId="0" shapeId="0">
      <text>
        <r>
          <rPr>
            <b/>
            <sz val="9"/>
            <color indexed="81"/>
            <rFont val="Tahoma"/>
            <charset val="1"/>
          </rPr>
          <t>Source: Derived: 832 - 637 named - Broadcom interest
Note: The leases note ($321.4B) is undiscounted, so it already contains Broadcom's interest; that interest is now scheduled explicitly above and taken out of this plug. p.33: post-2030 commitments fall 'substantially all' in 2031-2045. A ceiling:</t>
        </r>
      </text>
    </comment>
    <comment ref="E26" authorId="0" shapeId="0">
      <text>
        <r>
          <rPr>
            <b/>
            <sz val="9"/>
            <color indexed="81"/>
            <rFont val="Tahoma"/>
            <charset val="1"/>
          </rPr>
          <t>Source: Derived: 832 - 637 named - Broadcom interest
Note: The leases note ($321.4B) is undiscounted, so it already contains Broadcom's interest; that interest is now scheduled explicitly above and taken out of this plug. p.33: post-2030 commitments fall 'substantially all' in 2031-2045. A ceiling:</t>
        </r>
      </text>
    </comment>
    <comment ref="G26" authorId="0" shapeId="0">
      <text>
        <r>
          <rPr>
            <b/>
            <sz val="9"/>
            <color indexed="81"/>
            <rFont val="Tahoma"/>
            <charset val="1"/>
          </rPr>
          <t>Source: Derived: 832 - 637 named - Broadcom interest
Note: The leases note ($321.4B) is undiscounted, so it already contains Broadcom's interest; that interest is now scheduled explicitly above and taken out of this plug. p.33: post-2030 commitments fall 'substantially all' in 2031-2045. A ceiling:</t>
        </r>
      </text>
    </comment>
    <comment ref="H26" authorId="0" shapeId="0">
      <text>
        <r>
          <rPr>
            <b/>
            <sz val="9"/>
            <color indexed="81"/>
            <rFont val="Tahoma"/>
            <charset val="1"/>
          </rPr>
          <t>Source: Derived: 832 - 637 named - Broadcom interest
Note: The leases note ($321.4B) is undiscounted, so it already contains Broadcom's interest; that interest is now scheduled explicitly above and taken out of this plug. p.33: post-2030 commitments fall 'substantially all' in 2031-2045. A ceiling:</t>
        </r>
      </text>
    </comment>
    <comment ref="I26" authorId="0" shapeId="0">
      <text>
        <r>
          <rPr>
            <b/>
            <sz val="9"/>
            <color indexed="81"/>
            <rFont val="Tahoma"/>
            <charset val="1"/>
          </rPr>
          <t>Source: Derived: 832 - 637 named - Broadcom interest
Note: The leases note ($321.4B) is undiscounted, so it already contains Broadcom's interest; that interest is now scheduled explicitly above and taken out of this plug. p.33: post-2030 commitments fall 'substantially all' in 2031-2045. A ceiling:</t>
        </r>
      </text>
    </comment>
    <comment ref="I31" authorId="0" shapeId="0">
      <text>
        <r>
          <rPr>
            <b/>
            <sz val="9"/>
            <color indexed="81"/>
            <rFont val="Tahoma"/>
            <charset val="1"/>
          </rPr>
          <t xml:space="preserve">Source: Anthropic, PBC Form S-1 (filed 26 Oct 2026)
p.172
</t>
        </r>
      </text>
    </comment>
    <comment ref="I32" authorId="0" shapeId="0">
      <text>
        <r>
          <rPr>
            <b/>
            <sz val="9"/>
            <color indexed="81"/>
            <rFont val="Tahoma"/>
            <charset val="1"/>
          </rPr>
          <t xml:space="preserve">Source: Anthropic, PBC Form S-1 (filed 26 Oct 2026)
F-35
</t>
        </r>
      </text>
    </comment>
    <comment ref="I33" authorId="0" shapeId="0">
      <text>
        <r>
          <rPr>
            <b/>
            <sz val="9"/>
            <color indexed="81"/>
            <rFont val="Tahoma"/>
            <charset val="1"/>
          </rPr>
          <t xml:space="preserve">Source: Anthropic, PBC Form S-1 (filed 26 Oct 2026)
p.172 (five-year leases, quarterly rent)
</t>
        </r>
      </text>
    </comment>
    <comment ref="I34" authorId="0" shapeId="0">
      <text>
        <r>
          <rPr>
            <b/>
            <sz val="9"/>
            <color indexed="81"/>
            <rFont val="Tahoma"/>
            <charset val="1"/>
          </rPr>
          <t xml:space="preserve">Source: Anthropic, PBC Form S-1 (filed 26 Oct 2026)
p.172
</t>
        </r>
      </text>
    </comment>
    <comment ref="I35" authorId="0" shapeId="0">
      <text>
        <r>
          <rPr>
            <b/>
            <sz val="9"/>
            <color indexed="81"/>
            <rFont val="Tahoma"/>
            <charset val="1"/>
          </rPr>
          <t xml:space="preserve">Source: Anthropic, PBC Form S-1 (filed 26 Oct 2026)
p.172 (from Dec 2026)
</t>
        </r>
      </text>
    </comment>
    <comment ref="I36" authorId="0" shapeId="0">
      <text>
        <r>
          <rPr>
            <b/>
            <sz val="9"/>
            <color indexed="81"/>
            <rFont val="Tahoma"/>
            <charset val="1"/>
          </rPr>
          <t>Source: Our est. (S-1 p.172 gives two lock-in dates, no split)</t>
        </r>
      </text>
    </comment>
    <comment ref="I37" authorId="0" shapeId="0">
      <text>
        <r>
          <rPr>
            <b/>
            <sz val="9"/>
            <color indexed="81"/>
            <rFont val="Tahoma"/>
            <charset val="1"/>
          </rPr>
          <t>Source: Derived from S-1 p.172</t>
        </r>
      </text>
    </comment>
    <comment ref="I38" authorId="0" shapeId="0">
      <text>
        <r>
          <rPr>
            <b/>
            <sz val="9"/>
            <color indexed="81"/>
            <rFont val="Tahoma"/>
            <charset val="1"/>
          </rPr>
          <t>Source: Derived from S-1 p.172</t>
        </r>
      </text>
    </comment>
    <comment ref="I39" authorId="0" shapeId="0">
      <text>
        <r>
          <rPr>
            <b/>
            <sz val="9"/>
            <color indexed="81"/>
            <rFont val="Tahoma"/>
            <charset val="1"/>
          </rPr>
          <t>Source: External: SpaceX S-1/A No.2, May 2029</t>
        </r>
      </text>
    </comment>
    <comment ref="I40" authorId="0" shapeId="0">
      <text>
        <r>
          <rPr>
            <b/>
            <sz val="9"/>
            <color indexed="81"/>
            <rFont val="Tahoma"/>
            <charset val="1"/>
          </rPr>
          <t>Source: External: SpaceX S-1/A No.2</t>
        </r>
      </text>
    </comment>
    <comment ref="I41" authorId="0" shapeId="0">
      <text>
        <r>
          <rPr>
            <b/>
            <sz val="9"/>
            <color indexed="81"/>
            <rFont val="Tahoma"/>
            <charset val="1"/>
          </rPr>
          <t xml:space="preserve">Source: Anthropic, PBC Form S-1 (filed 26 Oct 2026)
p.171
</t>
        </r>
      </text>
    </comment>
    <comment ref="I42" authorId="0" shapeId="0">
      <text>
        <r>
          <rPr>
            <b/>
            <sz val="9"/>
            <color indexed="81"/>
            <rFont val="Tahoma"/>
            <charset val="1"/>
          </rPr>
          <t xml:space="preserve">Source: Anthropic, PBC Form S-1 (filed 26 Oct 2026)
p.171
</t>
        </r>
      </text>
    </comment>
    <comment ref="I43" authorId="0" shapeId="0">
      <text>
        <r>
          <rPr>
            <b/>
            <sz val="9"/>
            <color indexed="81"/>
            <rFont val="Tahoma"/>
            <charset val="1"/>
          </rPr>
          <t xml:space="preserve">Source: Anthropic, PBC Form S-1 (filed 26 Oct 2026)
F-59
</t>
        </r>
      </text>
    </comment>
    <comment ref="I44" authorId="0" shapeId="0">
      <text>
        <r>
          <rPr>
            <b/>
            <sz val="9"/>
            <color indexed="81"/>
            <rFont val="Tahoma"/>
            <charset val="1"/>
          </rPr>
          <t xml:space="preserve">Source: Anthropic, PBC Form S-1 (filed 26 Oct 2026)
F-36
</t>
        </r>
      </text>
    </comment>
    <comment ref="I45" authorId="0" shapeId="0">
      <text>
        <r>
          <rPr>
            <b/>
            <sz val="9"/>
            <color indexed="81"/>
            <rFont val="Tahoma"/>
            <charset val="1"/>
          </rPr>
          <t xml:space="preserve">Source: Anthropic, PBC Form S-1 (filed 26 Oct 2026)
F-65/66 (Note 17)
</t>
        </r>
      </text>
    </comment>
    <comment ref="I46" authorId="0" shapeId="0">
      <text>
        <r>
          <rPr>
            <b/>
            <sz val="9"/>
            <color indexed="81"/>
            <rFont val="Tahoma"/>
            <charset val="1"/>
          </rPr>
          <t xml:space="preserve">Source: Anthropic, PBC Form S-1 (filed 26 Oct 2026)
F-65/66 (Note 17)
</t>
        </r>
      </text>
    </comment>
    <comment ref="I47" authorId="0" shapeId="0">
      <text>
        <r>
          <rPr>
            <b/>
            <sz val="9"/>
            <color indexed="81"/>
            <rFont val="Tahoma"/>
            <charset val="1"/>
          </rPr>
          <t xml:space="preserve">Source: Anthropic, PBC Form S-1 (filed 26 Oct 2026)
F-65/66 (Note 17)
</t>
        </r>
      </text>
    </comment>
    <comment ref="I48" authorId="0" shapeId="0">
      <text>
        <r>
          <rPr>
            <b/>
            <sz val="9"/>
            <color indexed="81"/>
            <rFont val="Tahoma"/>
            <charset val="1"/>
          </rPr>
          <t xml:space="preserve">Source: Anthropic, PBC Form S-1 (filed 26 Oct 2026)
F-59
</t>
        </r>
      </text>
    </comment>
    <comment ref="I49" authorId="0" shapeId="0">
      <text>
        <r>
          <rPr>
            <b/>
            <sz val="9"/>
            <color indexed="81"/>
            <rFont val="Tahoma"/>
            <charset val="1"/>
          </rPr>
          <t xml:space="preserve">Source: Anthropic, PBC Form S-1 (filed 26 Oct 2026)
F-59
</t>
        </r>
      </text>
    </comment>
    <comment ref="I50" authorId="0" shapeId="0">
      <text>
        <r>
          <rPr>
            <b/>
            <sz val="9"/>
            <color indexed="81"/>
            <rFont val="Tahoma"/>
            <charset val="1"/>
          </rPr>
          <t xml:space="preserve">Source: Anthropic, PBC Form S-1 (filed 26 Oct 2026)
F-59
</t>
        </r>
      </text>
    </comment>
    <comment ref="I51" authorId="0" shapeId="0">
      <text>
        <r>
          <rPr>
            <b/>
            <sz val="9"/>
            <color indexed="81"/>
            <rFont val="Tahoma"/>
            <charset val="1"/>
          </rPr>
          <t xml:space="preserve">Source: Anthropic, PBC Form S-1 (filed 26 Oct 2026)
F-59
</t>
        </r>
      </text>
    </comment>
    <comment ref="I52" authorId="0" shapeId="0">
      <text>
        <r>
          <rPr>
            <b/>
            <sz val="9"/>
            <color indexed="81"/>
            <rFont val="Tahoma"/>
            <charset val="1"/>
          </rPr>
          <t xml:space="preserve">Source: Anthropic, PBC Form S-1 (filed 26 Oct 2026)
F-59
</t>
        </r>
      </text>
    </comment>
    <comment ref="I56" authorId="0" shapeId="0">
      <text>
        <r>
          <rPr>
            <b/>
            <sz val="9"/>
            <color indexed="81"/>
            <rFont val="Tahoma"/>
            <charset val="1"/>
          </rPr>
          <t>Source: Anthropic, PBC Form S-1 (filed 26 Oct 2026)
F-7
Note: Post-split basis (10-for-1, 17 Sep 2026, retroactive: F-15).</t>
        </r>
      </text>
    </comment>
    <comment ref="I57" authorId="0" shapeId="0">
      <text>
        <r>
          <rPr>
            <b/>
            <sz val="9"/>
            <color indexed="81"/>
            <rFont val="Tahoma"/>
            <charset val="1"/>
          </rPr>
          <t>Source: Anthropic, PBC Form S-1 (filed 26 Oct 2026)
F-7
Note: Issued in Feb 2026 for donation matching.</t>
        </r>
      </text>
    </comment>
    <comment ref="I58" authorId="0" shapeId="0">
      <text>
        <r>
          <rPr>
            <b/>
            <sz val="9"/>
            <color indexed="81"/>
            <rFont val="Tahoma"/>
            <charset val="1"/>
          </rPr>
          <t xml:space="preserve">Source: Anthropic, PBC Form S-1 (filed 26 Oct 2026)
F-51
</t>
        </r>
      </text>
    </comment>
    <comment ref="I59" authorId="0" shapeId="0">
      <text>
        <r>
          <rPr>
            <b/>
            <sz val="9"/>
            <color indexed="81"/>
            <rFont val="Tahoma"/>
            <charset val="1"/>
          </rPr>
          <t xml:space="preserve">Source: Anthropic, PBC Form S-1 (filed 26 Oct 2026)
F-51
</t>
        </r>
      </text>
    </comment>
    <comment ref="I60" authorId="0" shapeId="0">
      <text>
        <r>
          <rPr>
            <b/>
            <sz val="9"/>
            <color indexed="81"/>
            <rFont val="Tahoma"/>
            <charset val="1"/>
          </rPr>
          <t xml:space="preserve">Source: Anthropic, PBC Form S-1 (filed 26 Oct 2026)
F-51
</t>
        </r>
      </text>
    </comment>
    <comment ref="I61" authorId="0" shapeId="0">
      <text>
        <r>
          <rPr>
            <b/>
            <sz val="9"/>
            <color indexed="81"/>
            <rFont val="Tahoma"/>
            <charset val="1"/>
          </rPr>
          <t xml:space="preserve">Source: Anthropic, PBC Form S-1 (filed 26 Oct 2026)
F-51
</t>
        </r>
      </text>
    </comment>
    <comment ref="I62" authorId="0" shapeId="0">
      <text>
        <r>
          <rPr>
            <b/>
            <sz val="9"/>
            <color indexed="81"/>
            <rFont val="Tahoma"/>
            <charset val="1"/>
          </rPr>
          <t>Source: Anthropic, PBC Form S-1 (filed 26 Oct 2026)
p.165
Note: Principal $6,203M at $2.0928 / $5.0478 per share; carried at $108.6B (F-6). The p.13 figure assumes full conversion.</t>
        </r>
      </text>
    </comment>
    <comment ref="I63" authorId="0" shapeId="0">
      <text>
        <r>
          <rPr>
            <b/>
            <sz val="9"/>
            <color indexed="81"/>
            <rFont val="Tahoma"/>
            <charset val="1"/>
          </rPr>
          <t>Source: Anthropic, PBC Form S-1 (filed 26 Oct 2026)
p.13, F-66
Note: 846,840,960 shares, '5% of our fully diluted shares as of June 30, 2026 (assuming full conversion of the Amazon Notes)'.</t>
        </r>
      </text>
    </comment>
    <comment ref="I64" authorId="0" shapeId="0">
      <text>
        <r>
          <rPr>
            <b/>
            <sz val="9"/>
            <color indexed="81"/>
            <rFont val="Tahoma"/>
            <charset val="1"/>
          </rPr>
          <t xml:space="preserve">Source: Anthropic, PBC Form S-1 (filed 26 Oct 2026)
p.13
</t>
        </r>
      </text>
    </comment>
    <comment ref="I65" authorId="0" shapeId="0">
      <text>
        <r>
          <rPr>
            <b/>
            <sz val="9"/>
            <color indexed="81"/>
            <rFont val="Tahoma"/>
            <charset val="1"/>
          </rPr>
          <t>Source: Anthropic, PBC Form S-1 (filed 26 Oct 2026)
F-52
Note: Inside the F-51 awards line.</t>
        </r>
      </text>
    </comment>
    <comment ref="I66" authorId="0" shapeId="0">
      <text>
        <r>
          <rPr>
            <b/>
            <sz val="9"/>
            <color indexed="81"/>
            <rFont val="Tahoma"/>
            <charset val="1"/>
          </rPr>
          <t xml:space="preserve">Source: Anthropic, PBC Form S-1 (filed 26 Oct 2026)
F-52
</t>
        </r>
      </text>
    </comment>
    <comment ref="I67" authorId="0" shapeId="0">
      <text>
        <r>
          <rPr>
            <b/>
            <sz val="9"/>
            <color indexed="81"/>
            <rFont val="Tahoma"/>
            <charset val="1"/>
          </rPr>
          <t>Source: Anthropic, PBC Form S-1 (filed 26 Oct 2026)
F-53
Note: Inside the F-51 awards line, so inside the anchor.</t>
        </r>
      </text>
    </comment>
    <comment ref="I68" authorId="0" shapeId="0">
      <text>
        <r>
          <rPr>
            <b/>
            <sz val="9"/>
            <color indexed="81"/>
            <rFont val="Tahoma"/>
            <charset val="1"/>
          </rPr>
          <t xml:space="preserve">Source: Anthropic, PBC Form S-1 (filed 26 Oct 2026)
p.283, F-47
</t>
        </r>
      </text>
    </comment>
    <comment ref="I69" authorId="0" shapeId="0">
      <text>
        <r>
          <rPr>
            <b/>
            <sz val="9"/>
            <color indexed="81"/>
            <rFont val="Tahoma"/>
            <charset val="1"/>
          </rPr>
          <t>Source: Anthropic, PBC Form S-1 (filed 26 Oct 2026)
F-15, F-48
Note: 10-for-1 split, 17 Sep 2026 (Series D slightly higher).</t>
        </r>
      </text>
    </comment>
    <comment ref="I70" authorId="0" shapeId="0">
      <text>
        <r>
          <rPr>
            <b/>
            <sz val="9"/>
            <color indexed="81"/>
            <rFont val="Tahoma"/>
            <charset val="1"/>
          </rPr>
          <t>Source: Anthropic, PBC Form S-1 (filed 26 Oct 2026)
F-65 (Note 17)
Note: Granted from the 2021 Plan pool; existing awards at the IPO. $5.8B grant-date value, 4-year service vesting.</t>
        </r>
      </text>
    </comment>
    <comment ref="I71" authorId="0" shapeId="0">
      <text>
        <r>
          <rPr>
            <b/>
            <sz val="9"/>
            <color indexed="81"/>
            <rFont val="Tahoma"/>
            <charset val="1"/>
          </rPr>
          <t>Source: Anthropic, PBC Form S-1 (filed 26 Oct 2026)
F-66 (Note 17)
Note: Settles the Q3 $2.0B charge; drawn from the donation reserve.</t>
        </r>
      </text>
    </comment>
    <comment ref="I72" authorId="0" shapeId="0">
      <text>
        <r>
          <rPr>
            <b/>
            <sz val="9"/>
            <color indexed="81"/>
            <rFont val="Tahoma"/>
            <charset val="1"/>
          </rPr>
          <t>Source: Our choice
Note: AMD 'committed to purchase up to $5.0 billion ... if certain conditions are achieved' (Note 17). At a fair price it is value-neutral per share.</t>
        </r>
      </text>
    </comment>
    <comment ref="I73" authorId="0" shapeId="0">
      <text>
        <r>
          <rPr>
            <b/>
            <sz val="9"/>
            <color indexed="81"/>
            <rFont val="Tahoma"/>
            <charset val="1"/>
          </rPr>
          <t xml:space="preserve">Source: Anthropic, PBC Form S-1 (filed 26 Oct 2026)
F-65/66
</t>
        </r>
      </text>
    </comment>
    <comment ref="I74" authorId="0" shapeId="0">
      <text>
        <r>
          <rPr>
            <b/>
            <sz val="9"/>
            <color indexed="81"/>
            <rFont val="Tahoma"/>
            <charset val="1"/>
          </rPr>
          <t>Source: Anthropic, PBC Form S-1 (filed 26 Oct 2026)
p.13
Note: 2% of then-outstanding shares incl. options, RSUs, convertibles and Fund shares, per +50% price milestone.</t>
        </r>
      </text>
    </comment>
    <comment ref="I75" authorId="0" shapeId="0">
      <text>
        <r>
          <rPr>
            <b/>
            <sz val="9"/>
            <color indexed="81"/>
            <rFont val="Tahoma"/>
            <charset val="1"/>
          </rPr>
          <t xml:space="preserve">Source: Anthropic, PBC Form S-1 (filed 26 Oct 2026)
pp.166-167
</t>
        </r>
      </text>
    </comment>
    <comment ref="I76" authorId="0" shapeId="0">
      <text>
        <r>
          <rPr>
            <b/>
            <sz val="9"/>
            <color indexed="81"/>
            <rFont val="Tahoma"/>
            <charset val="1"/>
          </rPr>
          <t>Source: Our choice
Note: Draws are linked to need inside each case: the gap to the $5B covenant is drawn on these notes and its leakage deducted (Model/Engine 'Funding gap'). The full-facility stress is shown separately on DCF.</t>
        </r>
      </text>
    </comment>
    <comment ref="I77" authorId="0" shapeId="0">
      <text>
        <r>
          <rPr>
            <b/>
            <sz val="9"/>
            <color indexed="81"/>
            <rFont val="Tahoma"/>
            <charset val="1"/>
          </rPr>
          <t xml:space="preserve">Source: Anthropic, PBC Form S-1 (filed 26 Oct 2026)
p.167
</t>
        </r>
      </text>
    </comment>
    <comment ref="I78" authorId="0" shapeId="0">
      <text>
        <r>
          <rPr>
            <b/>
            <sz val="9"/>
            <color indexed="81"/>
            <rFont val="Tahoma"/>
            <charset val="1"/>
          </rPr>
          <t xml:space="preserve">Source: Anthropic, PBC Form S-1 (filed 26 Oct 2026)
p.167
</t>
        </r>
      </text>
    </comment>
    <comment ref="I79" authorId="0" shapeId="0">
      <text>
        <r>
          <rPr>
            <b/>
            <sz val="9"/>
            <color indexed="81"/>
            <rFont val="Tahoma"/>
            <charset val="1"/>
          </rPr>
          <t>Source: Our est.</t>
        </r>
      </text>
    </comment>
    <comment ref="I80" authorId="0" shapeId="0">
      <text>
        <r>
          <rPr>
            <b/>
            <sz val="9"/>
            <color indexed="81"/>
            <rFont val="Tahoma"/>
            <charset val="1"/>
          </rPr>
          <t>Source: Our est.
Note: No source of funds is disclosed beyond the facilities. Assumed priced like the adverse Broadcom terms (13% PIK, p.167): distressed equity-linked money.</t>
        </r>
      </text>
    </comment>
    <comment ref="I81" authorId="0" shapeId="0">
      <text>
        <r>
          <rPr>
            <b/>
            <sz val="9"/>
            <color indexed="81"/>
            <rFont val="Tahoma"/>
            <charset val="1"/>
          </rPr>
          <t>Source: Our est.
Note: As the adverse Broadcom terms (p.167).</t>
        </r>
      </text>
    </comment>
    <comment ref="I82" authorId="0" shapeId="0">
      <text>
        <r>
          <rPr>
            <b/>
            <sz val="9"/>
            <color indexed="81"/>
            <rFont val="Tahoma"/>
            <charset val="1"/>
          </rPr>
          <t xml:space="preserve">Source: Anthropic, PBC Form S-1 (filed 26 Oct 2026)
p.167
</t>
        </r>
      </text>
    </comment>
    <comment ref="I83" authorId="0" shapeId="0">
      <text>
        <r>
          <rPr>
            <b/>
            <sz val="9"/>
            <color indexed="81"/>
            <rFont val="Tahoma"/>
            <charset val="1"/>
          </rPr>
          <t xml:space="preserve">Source: Anthropic, PBC Form S-1 (filed 26 Oct 2026)
p.167
</t>
        </r>
      </text>
    </comment>
    <comment ref="I84" authorId="0" shapeId="0">
      <text>
        <r>
          <rPr>
            <b/>
            <sz val="9"/>
            <color indexed="81"/>
            <rFont val="Tahoma"/>
            <charset val="1"/>
          </rPr>
          <t>Source: Anthropic, PBC Form S-1 (filed 26 Oct 2026)
p.165
Note: 1,044.7M shares. Matures March 2034.</t>
        </r>
      </text>
    </comment>
    <comment ref="I85" authorId="0" shapeId="0">
      <text>
        <r>
          <rPr>
            <b/>
            <sz val="9"/>
            <color indexed="81"/>
            <rFont val="Tahoma"/>
            <charset val="1"/>
          </rPr>
          <t>Source: Anthropic, PBC Form S-1 (filed 26 Oct 2026)
p.165
Note: March 2034.</t>
        </r>
      </text>
    </comment>
    <comment ref="I86" authorId="0" shapeId="0">
      <text>
        <r>
          <rPr>
            <b/>
            <sz val="9"/>
            <color indexed="81"/>
            <rFont val="Tahoma"/>
            <charset val="1"/>
          </rPr>
          <t>Source: Anthropic, PBC Form S-1 (filed 26 Oct 2026)
p.165
Note: 795.7M shares, three tranches.</t>
        </r>
      </text>
    </comment>
    <comment ref="I87" authorId="0" shapeId="0">
      <text>
        <r>
          <rPr>
            <b/>
            <sz val="9"/>
            <color indexed="81"/>
            <rFont val="Tahoma"/>
            <charset val="1"/>
          </rPr>
          <t>Source: Anthropic, PBC Form S-1 (filed 26 Oct 2026)
p.165
Note: January, May and November 2035.</t>
        </r>
      </text>
    </comment>
    <comment ref="I88" authorId="0" shapeId="0">
      <text>
        <r>
          <rPr>
            <b/>
            <sz val="9"/>
            <color indexed="81"/>
            <rFont val="Tahoma"/>
            <charset val="1"/>
          </rPr>
          <t>Source: Anthropic, PBC Form S-1 (filed 26 Oct 2026)
p.165
Note: Waivable only by Amazon.</t>
        </r>
      </text>
    </comment>
    <comment ref="I89" authorId="0" shapeId="0">
      <text>
        <r>
          <rPr>
            <b/>
            <sz val="9"/>
            <color indexed="81"/>
            <rFont val="Tahoma"/>
            <charset val="1"/>
          </rPr>
          <t>Source: Our est.
Note: 136.6M + 19.3M + 8.5M preferred x 10. Low confidence; the S-1 does not total it.</t>
        </r>
      </text>
    </comment>
    <comment ref="I91" authorId="0" shapeId="0">
      <text>
        <r>
          <rPr>
            <b/>
            <sz val="9"/>
            <color indexed="81"/>
            <rFont val="Tahoma"/>
            <charset val="1"/>
          </rPr>
          <t>Source: Anthropic, PBC Form S-1 (filed 26 Oct 2026)
p.284, F-40
Note: Checked against the primary filing.</t>
        </r>
      </text>
    </comment>
    <comment ref="I92" authorId="0" shapeId="0">
      <text>
        <r>
          <rPr>
            <b/>
            <sz val="9"/>
            <color indexed="81"/>
            <rFont val="Tahoma"/>
            <charset val="1"/>
          </rPr>
          <t>Source: Anthropic, PBC Form S-1 (filed 26 Oct 2026)
p.284, F-47
Note: Checked against the primary filing.</t>
        </r>
      </text>
    </comment>
    <comment ref="I93" authorId="0" shapeId="0">
      <text>
        <r>
          <rPr>
            <b/>
            <sz val="9"/>
            <color indexed="81"/>
            <rFont val="Tahoma"/>
            <charset val="1"/>
          </rPr>
          <t>Source: Anthropic, PBC Form S-1 (filed 26 Oct 2026)
p.283, F-47
Note: Checked against the primary filing.</t>
        </r>
      </text>
    </comment>
    <comment ref="I94" authorId="0" shapeId="0">
      <text>
        <r>
          <rPr>
            <b/>
            <sz val="9"/>
            <color indexed="81"/>
            <rFont val="Tahoma"/>
            <charset val="1"/>
          </rPr>
          <t>Source: Anthropic, PBC Form S-1 (filed 26 Oct 2026)
Note 17
Note: Future grants: expensed via SBC % in FCF instead.</t>
        </r>
      </text>
    </comment>
    <comment ref="I95" authorId="0" shapeId="0">
      <text>
        <r>
          <rPr>
            <b/>
            <sz val="9"/>
            <color indexed="81"/>
            <rFont val="Tahoma"/>
            <charset val="1"/>
          </rPr>
          <t xml:space="preserve">Source: Anthropic, PBC Form S-1 (filed 26 Oct 2026)
Note 17
</t>
        </r>
      </text>
    </comment>
    <comment ref="I96" authorId="0" shapeId="0">
      <text>
        <r>
          <rPr>
            <b/>
            <sz val="9"/>
            <color indexed="81"/>
            <rFont val="Tahoma"/>
            <charset val="1"/>
          </rPr>
          <t>Source: Anthropic, PBC Form S-1 (filed 26 Oct 2026)
p.166
Note: Settles in Class N at 30-day VWAP: value-neutral.</t>
        </r>
      </text>
    </comment>
    <comment ref="I97" authorId="0" shapeId="0">
      <text>
        <r>
          <rPr>
            <b/>
            <sz val="9"/>
            <color indexed="81"/>
            <rFont val="Tahoma"/>
            <charset val="1"/>
          </rPr>
          <t>Source: Anthropic, PBC Form S-1 (filed 26 Oct 2026)
p.166
Note: 8% notes; settles at VWAP: value-neutral.</t>
        </r>
      </text>
    </comment>
    <comment ref="E101" authorId="0" shapeId="0">
      <text>
        <r>
          <rPr>
            <b/>
            <sz val="9"/>
            <color indexed="81"/>
            <rFont val="Tahoma"/>
            <charset val="1"/>
          </rPr>
          <t>Source: Our est.: ~Damodaran's 9.74% cost of capital; his year-5 value implies ~10.2%/yr</t>
        </r>
      </text>
    </comment>
    <comment ref="F101" authorId="0" shapeId="0">
      <text>
        <r>
          <rPr>
            <b/>
            <sz val="9"/>
            <color indexed="81"/>
            <rFont val="Tahoma"/>
            <charset val="1"/>
          </rPr>
          <t>Source: Our est.: ~Damodaran's 9.74% cost of capital; his year-5 value implies ~10.2%/yr</t>
        </r>
      </text>
    </comment>
    <comment ref="G101" authorId="0" shapeId="0">
      <text>
        <r>
          <rPr>
            <b/>
            <sz val="9"/>
            <color indexed="81"/>
            <rFont val="Tahoma"/>
            <charset val="1"/>
          </rPr>
          <t>Source: Our est.: ~Damodaran's 9.74% cost of capital; his year-5 value implies ~10.2%/yr</t>
        </r>
      </text>
    </comment>
    <comment ref="H101" authorId="0" shapeId="0">
      <text>
        <r>
          <rPr>
            <b/>
            <sz val="9"/>
            <color indexed="81"/>
            <rFont val="Tahoma"/>
            <charset val="1"/>
          </rPr>
          <t>Source: Our est.: ~Damodaran's 9.74% cost of capital; his year-5 value implies ~10.2%/yr</t>
        </r>
      </text>
    </comment>
    <comment ref="I101" authorId="0" shapeId="0">
      <text>
        <r>
          <rPr>
            <b/>
            <sz val="9"/>
            <color indexed="81"/>
            <rFont val="Tahoma"/>
            <charset val="1"/>
          </rPr>
          <t>Source: Our est.: ~Damodaran's 9.74% cost of capital; his year-5 value implies ~10.2%/yr</t>
        </r>
      </text>
    </comment>
    <comment ref="J101" authorId="0" shapeId="0">
      <text>
        <r>
          <rPr>
            <b/>
            <sz val="9"/>
            <color indexed="81"/>
            <rFont val="Tahoma"/>
            <charset val="1"/>
          </rPr>
          <t>Source: Our est.: ~Damodaran's 9.74% cost of capital; his year-5 value implies ~10.2%/yr</t>
        </r>
      </text>
    </comment>
    <comment ref="E102" authorId="0" shapeId="0">
      <text>
        <r>
          <rPr>
            <b/>
            <sz val="9"/>
            <color indexed="81"/>
            <rFont val="Tahoma"/>
            <charset val="1"/>
          </rPr>
          <t>Source: IPO late 2026 to end 2031</t>
        </r>
      </text>
    </comment>
    <comment ref="F102" authorId="0" shapeId="0">
      <text>
        <r>
          <rPr>
            <b/>
            <sz val="9"/>
            <color indexed="81"/>
            <rFont val="Tahoma"/>
            <charset val="1"/>
          </rPr>
          <t>Source: IPO late 2026 to end 2031</t>
        </r>
      </text>
    </comment>
    <comment ref="G102" authorId="0" shapeId="0">
      <text>
        <r>
          <rPr>
            <b/>
            <sz val="9"/>
            <color indexed="81"/>
            <rFont val="Tahoma"/>
            <charset val="1"/>
          </rPr>
          <t>Source: IPO late 2026 to end 2031</t>
        </r>
      </text>
    </comment>
    <comment ref="H102" authorId="0" shapeId="0">
      <text>
        <r>
          <rPr>
            <b/>
            <sz val="9"/>
            <color indexed="81"/>
            <rFont val="Tahoma"/>
            <charset val="1"/>
          </rPr>
          <t>Source: IPO late 2026 to end 2031</t>
        </r>
      </text>
    </comment>
    <comment ref="I102" authorId="0" shapeId="0">
      <text>
        <r>
          <rPr>
            <b/>
            <sz val="9"/>
            <color indexed="81"/>
            <rFont val="Tahoma"/>
            <charset val="1"/>
          </rPr>
          <t>Source: IPO late 2026 to end 2031</t>
        </r>
      </text>
    </comment>
    <comment ref="J102" authorId="0" shapeId="0">
      <text>
        <r>
          <rPr>
            <b/>
            <sz val="9"/>
            <color indexed="81"/>
            <rFont val="Tahoma"/>
            <charset val="1"/>
          </rPr>
          <t>Source: IPO late 2026 to end 2031</t>
        </r>
      </text>
    </comment>
    <comment ref="E103" authorId="0" shapeId="0">
      <text>
        <r>
          <rPr>
            <b/>
            <sz val="9"/>
            <color indexed="81"/>
            <rFont val="Tahoma"/>
            <charset val="1"/>
          </rPr>
          <t>Source: Our est.; Damodaran's year-5 EV/NOPAT 24.7x untaxed; Nasdaq-100 ~25x forward (Fortune)</t>
        </r>
      </text>
    </comment>
    <comment ref="F103" authorId="0" shapeId="0">
      <text>
        <r>
          <rPr>
            <b/>
            <sz val="9"/>
            <color indexed="81"/>
            <rFont val="Tahoma"/>
            <charset val="1"/>
          </rPr>
          <t>Source: Our est.; Damodaran's year-5 EV/NOPAT 24.7x untaxed; Nasdaq-100 ~25x forward (Fortune)</t>
        </r>
      </text>
    </comment>
    <comment ref="G103" authorId="0" shapeId="0">
      <text>
        <r>
          <rPr>
            <b/>
            <sz val="9"/>
            <color indexed="81"/>
            <rFont val="Tahoma"/>
            <charset val="1"/>
          </rPr>
          <t>Source: Our est.; Damodaran's year-5 EV/NOPAT 24.7x untaxed; Nasdaq-100 ~25x forward (Fortune)</t>
        </r>
      </text>
    </comment>
    <comment ref="H103" authorId="0" shapeId="0">
      <text>
        <r>
          <rPr>
            <b/>
            <sz val="9"/>
            <color indexed="81"/>
            <rFont val="Tahoma"/>
            <charset val="1"/>
          </rPr>
          <t>Source: Our est.; Damodaran's year-5 EV/NOPAT 24.7x untaxed; Nasdaq-100 ~25x forward (Fortune)</t>
        </r>
      </text>
    </comment>
    <comment ref="I103" authorId="0" shapeId="0">
      <text>
        <r>
          <rPr>
            <b/>
            <sz val="9"/>
            <color indexed="81"/>
            <rFont val="Tahoma"/>
            <charset val="1"/>
          </rPr>
          <t>Source: Our est.; Damodaran's year-5 EV/NOPAT 24.7x untaxed; Nasdaq-100 ~25x forward (Fortune)</t>
        </r>
      </text>
    </comment>
    <comment ref="J103" authorId="0" shapeId="0">
      <text>
        <r>
          <rPr>
            <b/>
            <sz val="9"/>
            <color indexed="81"/>
            <rFont val="Tahoma"/>
            <charset val="1"/>
          </rPr>
          <t>Source: Our est.; Damodaran's year-5 EV/NOPAT 24.7x untaxed; Nasdaq-100 ~25x forward (Fortune)</t>
        </r>
      </text>
    </comment>
    <comment ref="E104" authorId="0" shapeId="0">
      <text>
        <r>
          <rPr>
            <b/>
            <sz val="9"/>
            <color indexed="81"/>
            <rFont val="Tahoma"/>
            <charset val="1"/>
          </rPr>
          <t>Source: Our est.; Damodaran 27.5% pre-tax = 20.6% fully taxed</t>
        </r>
      </text>
    </comment>
    <comment ref="F104" authorId="0" shapeId="0">
      <text>
        <r>
          <rPr>
            <b/>
            <sz val="9"/>
            <color indexed="81"/>
            <rFont val="Tahoma"/>
            <charset val="1"/>
          </rPr>
          <t>Source: Our est.; Damodaran 27.5% pre-tax = 20.6% fully taxed</t>
        </r>
      </text>
    </comment>
    <comment ref="G104" authorId="0" shapeId="0">
      <text>
        <r>
          <rPr>
            <b/>
            <sz val="9"/>
            <color indexed="81"/>
            <rFont val="Tahoma"/>
            <charset val="1"/>
          </rPr>
          <t>Source: Our est.; Damodaran 27.5% pre-tax = 20.6% fully taxed</t>
        </r>
      </text>
    </comment>
    <comment ref="H104" authorId="0" shapeId="0">
      <text>
        <r>
          <rPr>
            <b/>
            <sz val="9"/>
            <color indexed="81"/>
            <rFont val="Tahoma"/>
            <charset val="1"/>
          </rPr>
          <t>Source: Our est.; Damodaran 27.5% pre-tax = 20.6% fully taxed</t>
        </r>
      </text>
    </comment>
    <comment ref="I104" authorId="0" shapeId="0">
      <text>
        <r>
          <rPr>
            <b/>
            <sz val="9"/>
            <color indexed="81"/>
            <rFont val="Tahoma"/>
            <charset val="1"/>
          </rPr>
          <t>Source: Our est.; Damodaran 27.5% pre-tax = 20.6% fully taxed</t>
        </r>
      </text>
    </comment>
    <comment ref="J104" authorId="0" shapeId="0">
      <text>
        <r>
          <rPr>
            <b/>
            <sz val="9"/>
            <color indexed="81"/>
            <rFont val="Tahoma"/>
            <charset val="1"/>
          </rPr>
          <t>Source: Our est.; Damodaran 27.5% pre-tax = 20.6% fully taxed</t>
        </r>
      </text>
    </comment>
    <comment ref="E105" authorId="0" shapeId="0">
      <text>
        <r>
          <rPr>
            <b/>
            <sz val="9"/>
            <color indexed="81"/>
            <rFont val="Tahoma"/>
            <charset val="1"/>
          </rPr>
          <t>Source: Set 5% to see the effect: it adds 1-2 points</t>
        </r>
      </text>
    </comment>
    <comment ref="F105" authorId="0" shapeId="0">
      <text>
        <r>
          <rPr>
            <b/>
            <sz val="9"/>
            <color indexed="81"/>
            <rFont val="Tahoma"/>
            <charset val="1"/>
          </rPr>
          <t>Source: Set 5% to see the effect: it adds 1-2 points</t>
        </r>
      </text>
    </comment>
    <comment ref="G105" authorId="0" shapeId="0">
      <text>
        <r>
          <rPr>
            <b/>
            <sz val="9"/>
            <color indexed="81"/>
            <rFont val="Tahoma"/>
            <charset val="1"/>
          </rPr>
          <t>Source: Set 5% to see the effect: it adds 1-2 points</t>
        </r>
      </text>
    </comment>
    <comment ref="H105" authorId="0" shapeId="0">
      <text>
        <r>
          <rPr>
            <b/>
            <sz val="9"/>
            <color indexed="81"/>
            <rFont val="Tahoma"/>
            <charset val="1"/>
          </rPr>
          <t>Source: Set 5% to see the effect: it adds 1-2 points</t>
        </r>
      </text>
    </comment>
    <comment ref="I105" authorId="0" shapeId="0">
      <text>
        <r>
          <rPr>
            <b/>
            <sz val="9"/>
            <color indexed="81"/>
            <rFont val="Tahoma"/>
            <charset val="1"/>
          </rPr>
          <t>Source: Set 5% to see the effect: it adds 1-2 points</t>
        </r>
      </text>
    </comment>
    <comment ref="J105" authorId="0" shapeId="0">
      <text>
        <r>
          <rPr>
            <b/>
            <sz val="9"/>
            <color indexed="81"/>
            <rFont val="Tahoma"/>
            <charset val="1"/>
          </rPr>
          <t>Source: Set 5% to see the effect: it adds 1-2 points</t>
        </r>
      </text>
    </comment>
    <comment ref="I108" authorId="0" shapeId="0">
      <text>
        <r>
          <rPr>
            <b/>
            <sz val="9"/>
            <color indexed="81"/>
            <rFont val="Tahoma"/>
            <charset val="1"/>
          </rPr>
          <t>Source: His spreadsheet; his post says $1.475T</t>
        </r>
      </text>
    </comment>
    <comment ref="I109" authorId="0" shapeId="0">
      <text>
        <r>
          <rPr>
            <b/>
            <sz val="9"/>
            <color indexed="81"/>
            <rFont val="Tahoma"/>
            <charset val="1"/>
          </rPr>
          <t>Source: Part of $472.3B debt</t>
        </r>
      </text>
    </comment>
    <comment ref="I110" authorId="0" shapeId="0">
      <text>
        <r>
          <rPr>
            <b/>
            <sz val="9"/>
            <color indexed="81"/>
            <rFont val="Tahoma"/>
            <charset val="1"/>
          </rPr>
          <t>Source: Makes his figure post-money</t>
        </r>
      </text>
    </comment>
    <comment ref="I111" authorId="0" shapeId="0">
      <text>
        <r>
          <rPr>
            <b/>
            <sz val="9"/>
            <color indexed="81"/>
            <rFont val="Tahoma"/>
            <charset val="1"/>
          </rPr>
          <t>Source: Operating assets $1,815.6B -&gt; $1,724.8B</t>
        </r>
      </text>
    </comment>
    <comment ref="I112" authorId="0" shapeId="0">
      <text>
        <r>
          <rPr>
            <b/>
            <sz val="9"/>
            <color indexed="81"/>
            <rFont val="Tahoma"/>
            <charset val="1"/>
          </rPr>
          <t>Source: 43%/yr in years 2-5 after $98.5B in year 1</t>
        </r>
      </text>
    </comment>
    <comment ref="I113" authorId="0" shapeId="0">
      <text>
        <r>
          <rPr>
            <b/>
            <sz val="9"/>
            <color indexed="81"/>
            <rFont val="Tahoma"/>
            <charset val="1"/>
          </rPr>
          <t xml:space="preserve">Source: </t>
        </r>
      </text>
    </comment>
    <comment ref="I114" authorId="0" shapeId="0">
      <text>
        <r>
          <rPr>
            <b/>
            <sz val="9"/>
            <color indexed="81"/>
            <rFont val="Tahoma"/>
            <charset val="1"/>
          </rPr>
          <t xml:space="preserve">Source: </t>
        </r>
      </text>
    </comment>
    <comment ref="I115" authorId="0" shapeId="0">
      <text>
        <r>
          <rPr>
            <b/>
            <sz val="9"/>
            <color indexed="81"/>
            <rFont val="Tahoma"/>
            <charset val="1"/>
          </rPr>
          <t xml:space="preserve">Source: </t>
        </r>
      </text>
    </comment>
    <comment ref="I116" authorId="0" shapeId="0">
      <text>
        <r>
          <rPr>
            <b/>
            <sz val="9"/>
            <color indexed="81"/>
            <rFont val="Tahoma"/>
            <charset val="1"/>
          </rPr>
          <t>Source: Damodaran's spreadsheet (28 Oct 2026)</t>
        </r>
      </text>
    </comment>
    <comment ref="I117" authorId="0" shapeId="0">
      <text>
        <r>
          <rPr>
            <b/>
            <sz val="9"/>
            <color indexed="81"/>
            <rFont val="Tahoma"/>
            <charset val="1"/>
          </rPr>
          <t>Source: Damodaran's spreadsheet (28 Oct 2026)</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StreetCred</author>
  </authors>
  <commentList>
    <comment ref="E7" authorId="0" shapeId="0">
      <text>
        <r>
          <rPr>
            <b/>
            <sz val="9"/>
            <color indexed="81"/>
            <rFont val="Tahoma"/>
            <charset val="1"/>
          </rPr>
          <t xml:space="preserve">Source: Anthropic, PBC Form S-1 (filed 26 Oct 2026)
p.23, p.158
</t>
        </r>
      </text>
    </comment>
    <comment ref="F7" authorId="0" shapeId="0">
      <text>
        <r>
          <rPr>
            <b/>
            <sz val="9"/>
            <color indexed="81"/>
            <rFont val="Tahoma"/>
            <charset val="1"/>
          </rPr>
          <t xml:space="preserve">Source: Anthropic, PBC Form S-1 (filed 26 Oct 2026)
p.23, p.158
</t>
        </r>
      </text>
    </comment>
    <comment ref="G7" authorId="0" shapeId="0">
      <text>
        <r>
          <rPr>
            <b/>
            <sz val="9"/>
            <color indexed="81"/>
            <rFont val="Tahoma"/>
            <charset val="1"/>
          </rPr>
          <t xml:space="preserve">Source: Anthropic, PBC Form S-1 (filed 26 Oct 2026)
p.23, p.158
</t>
        </r>
      </text>
    </comment>
    <comment ref="H7" authorId="0" shapeId="0">
      <text>
        <r>
          <rPr>
            <b/>
            <sz val="9"/>
            <color indexed="81"/>
            <rFont val="Tahoma"/>
            <charset val="1"/>
          </rPr>
          <t xml:space="preserve">Source: Anthropic, PBC Form S-1 (filed 26 Oct 2026)
p.23, p.158
</t>
        </r>
      </text>
    </comment>
    <comment ref="I7" authorId="0" shapeId="0">
      <text>
        <r>
          <rPr>
            <b/>
            <sz val="9"/>
            <color indexed="81"/>
            <rFont val="Tahoma"/>
            <charset val="1"/>
          </rPr>
          <t xml:space="preserve">Source: Anthropic, PBC Form S-1 (filed 26 Oct 2026)
p.23, p.158
</t>
        </r>
      </text>
    </comment>
    <comment ref="J7" authorId="0" shapeId="0">
      <text>
        <r>
          <rPr>
            <b/>
            <sz val="9"/>
            <color indexed="81"/>
            <rFont val="Tahoma"/>
            <charset val="1"/>
          </rPr>
          <t xml:space="preserve">Source: Anthropic, PBC Form S-1 (filed 26 Oct 2026)
p.23, p.158
</t>
        </r>
      </text>
    </comment>
    <comment ref="K7" authorId="0" shapeId="0">
      <text>
        <r>
          <rPr>
            <b/>
            <sz val="9"/>
            <color indexed="81"/>
            <rFont val="Tahoma"/>
            <charset val="1"/>
          </rPr>
          <t xml:space="preserve">Source: Anthropic, PBC Form S-1 (filed 26 Oct 2026)
p.23, p.158
</t>
        </r>
      </text>
    </comment>
    <comment ref="L7" authorId="0" shapeId="0">
      <text>
        <r>
          <rPr>
            <b/>
            <sz val="9"/>
            <color indexed="81"/>
            <rFont val="Tahoma"/>
            <charset val="1"/>
          </rPr>
          <t xml:space="preserve">Source: Anthropic, PBC Form S-1 (filed 26 Oct 2026)
p.23, p.158
</t>
        </r>
      </text>
    </comment>
    <comment ref="M7" authorId="0" shapeId="0">
      <text>
        <r>
          <rPr>
            <b/>
            <sz val="9"/>
            <color indexed="81"/>
            <rFont val="Tahoma"/>
            <charset val="1"/>
          </rPr>
          <t xml:space="preserve">Source: Anthropic, PBC Form S-1 (filed 26 Oct 2026)
p.23, p.158
</t>
        </r>
      </text>
    </comment>
    <comment ref="N7" authorId="0" shapeId="0">
      <text>
        <r>
          <rPr>
            <b/>
            <sz val="9"/>
            <color indexed="81"/>
            <rFont val="Tahoma"/>
            <charset val="1"/>
          </rPr>
          <t xml:space="preserve">Source: Anthropic, PBC Form S-1 (filed 26 Oct 2026)
p.23, p.158
</t>
        </r>
      </text>
    </comment>
    <comment ref="O7" authorId="0" shapeId="0">
      <text>
        <r>
          <rPr>
            <b/>
            <sz val="9"/>
            <color indexed="81"/>
            <rFont val="Tahoma"/>
            <charset val="1"/>
          </rPr>
          <t xml:space="preserve">Source: Anthropic, PBC Form S-1 (filed 26 Oct 2026)
p.23, p.158
</t>
        </r>
      </text>
    </comment>
    <comment ref="P7" authorId="0" shapeId="0">
      <text>
        <r>
          <rPr>
            <b/>
            <sz val="9"/>
            <color indexed="81"/>
            <rFont val="Tahoma"/>
            <charset val="1"/>
          </rPr>
          <t xml:space="preserve">Source: Anthropic, PBC Form S-1 (filed 26 Oct 2026)
p.23, p.158
</t>
        </r>
      </text>
    </comment>
    <comment ref="E8" authorId="0" shapeId="0">
      <text>
        <r>
          <rPr>
            <b/>
            <sz val="9"/>
            <color indexed="81"/>
            <rFont val="Tahoma"/>
            <charset val="1"/>
          </rPr>
          <t xml:space="preserve">Source: Anthropic, PBC Form S-1 (filed 26 Oct 2026)
F-27
</t>
        </r>
      </text>
    </comment>
    <comment ref="F8" authorId="0" shapeId="0">
      <text>
        <r>
          <rPr>
            <b/>
            <sz val="9"/>
            <color indexed="81"/>
            <rFont val="Tahoma"/>
            <charset val="1"/>
          </rPr>
          <t xml:space="preserve">Source: Anthropic, PBC Form S-1 (filed 26 Oct 2026)
F-27
</t>
        </r>
      </text>
    </comment>
    <comment ref="G8" authorId="0" shapeId="0">
      <text>
        <r>
          <rPr>
            <b/>
            <sz val="9"/>
            <color indexed="81"/>
            <rFont val="Tahoma"/>
            <charset val="1"/>
          </rPr>
          <t xml:space="preserve">Source: Anthropic, PBC Form S-1 (filed 26 Oct 2026)
F-27
</t>
        </r>
      </text>
    </comment>
    <comment ref="H8" authorId="0" shapeId="0">
      <text>
        <r>
          <rPr>
            <b/>
            <sz val="9"/>
            <color indexed="81"/>
            <rFont val="Tahoma"/>
            <charset val="1"/>
          </rPr>
          <t xml:space="preserve">Source: Anthropic, PBC Form S-1 (filed 26 Oct 2026)
F-27
</t>
        </r>
      </text>
    </comment>
    <comment ref="I8" authorId="0" shapeId="0">
      <text>
        <r>
          <rPr>
            <b/>
            <sz val="9"/>
            <color indexed="81"/>
            <rFont val="Tahoma"/>
            <charset val="1"/>
          </rPr>
          <t xml:space="preserve">Source: Anthropic, PBC Form S-1 (filed 26 Oct 2026)
F-27
</t>
        </r>
      </text>
    </comment>
    <comment ref="J8" authorId="0" shapeId="0">
      <text>
        <r>
          <rPr>
            <b/>
            <sz val="9"/>
            <color indexed="81"/>
            <rFont val="Tahoma"/>
            <charset val="1"/>
          </rPr>
          <t xml:space="preserve">Source: Anthropic, PBC Form S-1 (filed 26 Oct 2026)
F-27
</t>
        </r>
      </text>
    </comment>
    <comment ref="E9" authorId="0" shapeId="0">
      <text>
        <r>
          <rPr>
            <b/>
            <sz val="9"/>
            <color indexed="81"/>
            <rFont val="Tahoma"/>
            <charset val="1"/>
          </rPr>
          <t xml:space="preserve">Source: Anthropic, PBC Form S-1 (filed 26 Oct 2026)
F-27
</t>
        </r>
      </text>
    </comment>
    <comment ref="F9" authorId="0" shapeId="0">
      <text>
        <r>
          <rPr>
            <b/>
            <sz val="9"/>
            <color indexed="81"/>
            <rFont val="Tahoma"/>
            <charset val="1"/>
          </rPr>
          <t xml:space="preserve">Source: Anthropic, PBC Form S-1 (filed 26 Oct 2026)
F-27
</t>
        </r>
      </text>
    </comment>
    <comment ref="G9" authorId="0" shapeId="0">
      <text>
        <r>
          <rPr>
            <b/>
            <sz val="9"/>
            <color indexed="81"/>
            <rFont val="Tahoma"/>
            <charset val="1"/>
          </rPr>
          <t xml:space="preserve">Source: Anthropic, PBC Form S-1 (filed 26 Oct 2026)
F-27
</t>
        </r>
      </text>
    </comment>
    <comment ref="H9" authorId="0" shapeId="0">
      <text>
        <r>
          <rPr>
            <b/>
            <sz val="9"/>
            <color indexed="81"/>
            <rFont val="Tahoma"/>
            <charset val="1"/>
          </rPr>
          <t xml:space="preserve">Source: Anthropic, PBC Form S-1 (filed 26 Oct 2026)
F-27
</t>
        </r>
      </text>
    </comment>
    <comment ref="I9" authorId="0" shapeId="0">
      <text>
        <r>
          <rPr>
            <b/>
            <sz val="9"/>
            <color indexed="81"/>
            <rFont val="Tahoma"/>
            <charset val="1"/>
          </rPr>
          <t xml:space="preserve">Source: Anthropic, PBC Form S-1 (filed 26 Oct 2026)
F-27
</t>
        </r>
      </text>
    </comment>
    <comment ref="J9" authorId="0" shapeId="0">
      <text>
        <r>
          <rPr>
            <b/>
            <sz val="9"/>
            <color indexed="81"/>
            <rFont val="Tahoma"/>
            <charset val="1"/>
          </rPr>
          <t xml:space="preserve">Source: Anthropic, PBC Form S-1 (filed 26 Oct 2026)
F-27
</t>
        </r>
      </text>
    </comment>
    <comment ref="E10" authorId="0" shapeId="0">
      <text>
        <r>
          <rPr>
            <b/>
            <sz val="9"/>
            <color indexed="81"/>
            <rFont val="Tahoma"/>
            <charset val="1"/>
          </rPr>
          <t xml:space="preserve">Source: Anthropic, PBC Form S-1 (filed 26 Oct 2026)
p.23, p.158
</t>
        </r>
      </text>
    </comment>
    <comment ref="F10" authorId="0" shapeId="0">
      <text>
        <r>
          <rPr>
            <b/>
            <sz val="9"/>
            <color indexed="81"/>
            <rFont val="Tahoma"/>
            <charset val="1"/>
          </rPr>
          <t xml:space="preserve">Source: Anthropic, PBC Form S-1 (filed 26 Oct 2026)
p.23, p.158
</t>
        </r>
      </text>
    </comment>
    <comment ref="G10" authorId="0" shapeId="0">
      <text>
        <r>
          <rPr>
            <b/>
            <sz val="9"/>
            <color indexed="81"/>
            <rFont val="Tahoma"/>
            <charset val="1"/>
          </rPr>
          <t xml:space="preserve">Source: Anthropic, PBC Form S-1 (filed 26 Oct 2026)
p.23, p.158
</t>
        </r>
      </text>
    </comment>
    <comment ref="H10" authorId="0" shapeId="0">
      <text>
        <r>
          <rPr>
            <b/>
            <sz val="9"/>
            <color indexed="81"/>
            <rFont val="Tahoma"/>
            <charset val="1"/>
          </rPr>
          <t xml:space="preserve">Source: Anthropic, PBC Form S-1 (filed 26 Oct 2026)
p.23, p.158
</t>
        </r>
      </text>
    </comment>
    <comment ref="I10" authorId="0" shapeId="0">
      <text>
        <r>
          <rPr>
            <b/>
            <sz val="9"/>
            <color indexed="81"/>
            <rFont val="Tahoma"/>
            <charset val="1"/>
          </rPr>
          <t xml:space="preserve">Source: Anthropic, PBC Form S-1 (filed 26 Oct 2026)
p.23, p.158
</t>
        </r>
      </text>
    </comment>
    <comment ref="J10" authorId="0" shapeId="0">
      <text>
        <r>
          <rPr>
            <b/>
            <sz val="9"/>
            <color indexed="81"/>
            <rFont val="Tahoma"/>
            <charset val="1"/>
          </rPr>
          <t xml:space="preserve">Source: Anthropic, PBC Form S-1 (filed 26 Oct 2026)
p.23, p.158
</t>
        </r>
      </text>
    </comment>
    <comment ref="K10" authorId="0" shapeId="0">
      <text>
        <r>
          <rPr>
            <b/>
            <sz val="9"/>
            <color indexed="81"/>
            <rFont val="Tahoma"/>
            <charset val="1"/>
          </rPr>
          <t xml:space="preserve">Source: Anthropic, PBC Form S-1 (filed 26 Oct 2026)
p.23, p.158
</t>
        </r>
      </text>
    </comment>
    <comment ref="L10" authorId="0" shapeId="0">
      <text>
        <r>
          <rPr>
            <b/>
            <sz val="9"/>
            <color indexed="81"/>
            <rFont val="Tahoma"/>
            <charset val="1"/>
          </rPr>
          <t xml:space="preserve">Source: Anthropic, PBC Form S-1 (filed 26 Oct 2026)
p.23, p.158
</t>
        </r>
      </text>
    </comment>
    <comment ref="M10" authorId="0" shapeId="0">
      <text>
        <r>
          <rPr>
            <b/>
            <sz val="9"/>
            <color indexed="81"/>
            <rFont val="Tahoma"/>
            <charset val="1"/>
          </rPr>
          <t xml:space="preserve">Source: Anthropic, PBC Form S-1 (filed 26 Oct 2026)
p.23, p.158
</t>
        </r>
      </text>
    </comment>
    <comment ref="N10" authorId="0" shapeId="0">
      <text>
        <r>
          <rPr>
            <b/>
            <sz val="9"/>
            <color indexed="81"/>
            <rFont val="Tahoma"/>
            <charset val="1"/>
          </rPr>
          <t xml:space="preserve">Source: Anthropic, PBC Form S-1 (filed 26 Oct 2026)
p.23, p.158
</t>
        </r>
      </text>
    </comment>
    <comment ref="O10" authorId="0" shapeId="0">
      <text>
        <r>
          <rPr>
            <b/>
            <sz val="9"/>
            <color indexed="81"/>
            <rFont val="Tahoma"/>
            <charset val="1"/>
          </rPr>
          <t xml:space="preserve">Source: Anthropic, PBC Form S-1 (filed 26 Oct 2026)
p.23, p.158
</t>
        </r>
      </text>
    </comment>
    <comment ref="P10" authorId="0" shapeId="0">
      <text>
        <r>
          <rPr>
            <b/>
            <sz val="9"/>
            <color indexed="81"/>
            <rFont val="Tahoma"/>
            <charset val="1"/>
          </rPr>
          <t xml:space="preserve">Source: Anthropic, PBC Form S-1 (filed 26 Oct 2026)
p.23, p.158
</t>
        </r>
      </text>
    </comment>
    <comment ref="E11" authorId="0" shapeId="0">
      <text>
        <r>
          <rPr>
            <b/>
            <sz val="9"/>
            <color indexed="81"/>
            <rFont val="Tahoma"/>
            <charset val="1"/>
          </rPr>
          <t xml:space="preserve">Source: Anthropic, PBC Form S-1 (filed 26 Oct 2026)
p.23, p.158
</t>
        </r>
      </text>
    </comment>
    <comment ref="F11" authorId="0" shapeId="0">
      <text>
        <r>
          <rPr>
            <b/>
            <sz val="9"/>
            <color indexed="81"/>
            <rFont val="Tahoma"/>
            <charset val="1"/>
          </rPr>
          <t xml:space="preserve">Source: Anthropic, PBC Form S-1 (filed 26 Oct 2026)
p.23, p.158
</t>
        </r>
      </text>
    </comment>
    <comment ref="G11" authorId="0" shapeId="0">
      <text>
        <r>
          <rPr>
            <b/>
            <sz val="9"/>
            <color indexed="81"/>
            <rFont val="Tahoma"/>
            <charset val="1"/>
          </rPr>
          <t xml:space="preserve">Source: Anthropic, PBC Form S-1 (filed 26 Oct 2026)
p.23, p.158
</t>
        </r>
      </text>
    </comment>
    <comment ref="H11" authorId="0" shapeId="0">
      <text>
        <r>
          <rPr>
            <b/>
            <sz val="9"/>
            <color indexed="81"/>
            <rFont val="Tahoma"/>
            <charset val="1"/>
          </rPr>
          <t xml:space="preserve">Source: Anthropic, PBC Form S-1 (filed 26 Oct 2026)
p.23, p.158
</t>
        </r>
      </text>
    </comment>
    <comment ref="I11" authorId="0" shapeId="0">
      <text>
        <r>
          <rPr>
            <b/>
            <sz val="9"/>
            <color indexed="81"/>
            <rFont val="Tahoma"/>
            <charset val="1"/>
          </rPr>
          <t xml:space="preserve">Source: Anthropic, PBC Form S-1 (filed 26 Oct 2026)
p.23, p.158
</t>
        </r>
      </text>
    </comment>
    <comment ref="J11" authorId="0" shapeId="0">
      <text>
        <r>
          <rPr>
            <b/>
            <sz val="9"/>
            <color indexed="81"/>
            <rFont val="Tahoma"/>
            <charset val="1"/>
          </rPr>
          <t xml:space="preserve">Source: Anthropic, PBC Form S-1 (filed 26 Oct 2026)
p.23, p.158
</t>
        </r>
      </text>
    </comment>
    <comment ref="K11" authorId="0" shapeId="0">
      <text>
        <r>
          <rPr>
            <b/>
            <sz val="9"/>
            <color indexed="81"/>
            <rFont val="Tahoma"/>
            <charset val="1"/>
          </rPr>
          <t xml:space="preserve">Source: Anthropic, PBC Form S-1 (filed 26 Oct 2026)
p.23, p.158
</t>
        </r>
      </text>
    </comment>
    <comment ref="L11" authorId="0" shapeId="0">
      <text>
        <r>
          <rPr>
            <b/>
            <sz val="9"/>
            <color indexed="81"/>
            <rFont val="Tahoma"/>
            <charset val="1"/>
          </rPr>
          <t xml:space="preserve">Source: Anthropic, PBC Form S-1 (filed 26 Oct 2026)
p.23, p.158
</t>
        </r>
      </text>
    </comment>
    <comment ref="M11" authorId="0" shapeId="0">
      <text>
        <r>
          <rPr>
            <b/>
            <sz val="9"/>
            <color indexed="81"/>
            <rFont val="Tahoma"/>
            <charset val="1"/>
          </rPr>
          <t xml:space="preserve">Source: Anthropic, PBC Form S-1 (filed 26 Oct 2026)
p.23, p.158
</t>
        </r>
      </text>
    </comment>
    <comment ref="N11" authorId="0" shapeId="0">
      <text>
        <r>
          <rPr>
            <b/>
            <sz val="9"/>
            <color indexed="81"/>
            <rFont val="Tahoma"/>
            <charset val="1"/>
          </rPr>
          <t xml:space="preserve">Source: Anthropic, PBC Form S-1 (filed 26 Oct 2026)
p.23, p.158
</t>
        </r>
      </text>
    </comment>
    <comment ref="O11" authorId="0" shapeId="0">
      <text>
        <r>
          <rPr>
            <b/>
            <sz val="9"/>
            <color indexed="81"/>
            <rFont val="Tahoma"/>
            <charset val="1"/>
          </rPr>
          <t xml:space="preserve">Source: Anthropic, PBC Form S-1 (filed 26 Oct 2026)
p.23, p.158
</t>
        </r>
      </text>
    </comment>
    <comment ref="P11" authorId="0" shapeId="0">
      <text>
        <r>
          <rPr>
            <b/>
            <sz val="9"/>
            <color indexed="81"/>
            <rFont val="Tahoma"/>
            <charset val="1"/>
          </rPr>
          <t xml:space="preserve">Source: Anthropic, PBC Form S-1 (filed 26 Oct 2026)
p.23, p.158
</t>
        </r>
      </text>
    </comment>
    <comment ref="E12" authorId="0" shapeId="0">
      <text>
        <r>
          <rPr>
            <b/>
            <sz val="9"/>
            <color indexed="81"/>
            <rFont val="Tahoma"/>
            <charset val="1"/>
          </rPr>
          <t xml:space="preserve">Source: Anthropic, PBC Form S-1 (filed 26 Oct 2026)
p.23, p.158
</t>
        </r>
      </text>
    </comment>
    <comment ref="F12" authorId="0" shapeId="0">
      <text>
        <r>
          <rPr>
            <b/>
            <sz val="9"/>
            <color indexed="81"/>
            <rFont val="Tahoma"/>
            <charset val="1"/>
          </rPr>
          <t xml:space="preserve">Source: Anthropic, PBC Form S-1 (filed 26 Oct 2026)
p.23, p.158
</t>
        </r>
      </text>
    </comment>
    <comment ref="G12" authorId="0" shapeId="0">
      <text>
        <r>
          <rPr>
            <b/>
            <sz val="9"/>
            <color indexed="81"/>
            <rFont val="Tahoma"/>
            <charset val="1"/>
          </rPr>
          <t xml:space="preserve">Source: Anthropic, PBC Form S-1 (filed 26 Oct 2026)
p.23, p.158
</t>
        </r>
      </text>
    </comment>
    <comment ref="H12" authorId="0" shapeId="0">
      <text>
        <r>
          <rPr>
            <b/>
            <sz val="9"/>
            <color indexed="81"/>
            <rFont val="Tahoma"/>
            <charset val="1"/>
          </rPr>
          <t xml:space="preserve">Source: Anthropic, PBC Form S-1 (filed 26 Oct 2026)
p.23, p.158
</t>
        </r>
      </text>
    </comment>
    <comment ref="I12" authorId="0" shapeId="0">
      <text>
        <r>
          <rPr>
            <b/>
            <sz val="9"/>
            <color indexed="81"/>
            <rFont val="Tahoma"/>
            <charset val="1"/>
          </rPr>
          <t xml:space="preserve">Source: Anthropic, PBC Form S-1 (filed 26 Oct 2026)
p.23, p.158
</t>
        </r>
      </text>
    </comment>
    <comment ref="J12" authorId="0" shapeId="0">
      <text>
        <r>
          <rPr>
            <b/>
            <sz val="9"/>
            <color indexed="81"/>
            <rFont val="Tahoma"/>
            <charset val="1"/>
          </rPr>
          <t xml:space="preserve">Source: Anthropic, PBC Form S-1 (filed 26 Oct 2026)
p.23, p.158
</t>
        </r>
      </text>
    </comment>
    <comment ref="K12" authorId="0" shapeId="0">
      <text>
        <r>
          <rPr>
            <b/>
            <sz val="9"/>
            <color indexed="81"/>
            <rFont val="Tahoma"/>
            <charset val="1"/>
          </rPr>
          <t xml:space="preserve">Source: Anthropic, PBC Form S-1 (filed 26 Oct 2026)
p.23, p.158
</t>
        </r>
      </text>
    </comment>
    <comment ref="L12" authorId="0" shapeId="0">
      <text>
        <r>
          <rPr>
            <b/>
            <sz val="9"/>
            <color indexed="81"/>
            <rFont val="Tahoma"/>
            <charset val="1"/>
          </rPr>
          <t xml:space="preserve">Source: Anthropic, PBC Form S-1 (filed 26 Oct 2026)
p.23, p.158
</t>
        </r>
      </text>
    </comment>
    <comment ref="M12" authorId="0" shapeId="0">
      <text>
        <r>
          <rPr>
            <b/>
            <sz val="9"/>
            <color indexed="81"/>
            <rFont val="Tahoma"/>
            <charset val="1"/>
          </rPr>
          <t xml:space="preserve">Source: Anthropic, PBC Form S-1 (filed 26 Oct 2026)
p.23, p.158
</t>
        </r>
      </text>
    </comment>
    <comment ref="N12" authorId="0" shapeId="0">
      <text>
        <r>
          <rPr>
            <b/>
            <sz val="9"/>
            <color indexed="81"/>
            <rFont val="Tahoma"/>
            <charset val="1"/>
          </rPr>
          <t xml:space="preserve">Source: Anthropic, PBC Form S-1 (filed 26 Oct 2026)
p.23, p.158
</t>
        </r>
      </text>
    </comment>
    <comment ref="O12" authorId="0" shapeId="0">
      <text>
        <r>
          <rPr>
            <b/>
            <sz val="9"/>
            <color indexed="81"/>
            <rFont val="Tahoma"/>
            <charset val="1"/>
          </rPr>
          <t xml:space="preserve">Source: Anthropic, PBC Form S-1 (filed 26 Oct 2026)
p.23, p.158
</t>
        </r>
      </text>
    </comment>
    <comment ref="P12" authorId="0" shapeId="0">
      <text>
        <r>
          <rPr>
            <b/>
            <sz val="9"/>
            <color indexed="81"/>
            <rFont val="Tahoma"/>
            <charset val="1"/>
          </rPr>
          <t xml:space="preserve">Source: Anthropic, PBC Form S-1 (filed 26 Oct 2026)
p.23, p.158
</t>
        </r>
      </text>
    </comment>
    <comment ref="E13" authorId="0" shapeId="0">
      <text>
        <r>
          <rPr>
            <b/>
            <sz val="9"/>
            <color indexed="81"/>
            <rFont val="Tahoma"/>
            <charset val="1"/>
          </rPr>
          <t xml:space="preserve">Source: Anthropic, PBC Form S-1 (filed 26 Oct 2026)
p.23, p.158
</t>
        </r>
      </text>
    </comment>
    <comment ref="F13" authorId="0" shapeId="0">
      <text>
        <r>
          <rPr>
            <b/>
            <sz val="9"/>
            <color indexed="81"/>
            <rFont val="Tahoma"/>
            <charset val="1"/>
          </rPr>
          <t xml:space="preserve">Source: Anthropic, PBC Form S-1 (filed 26 Oct 2026)
p.23, p.158
</t>
        </r>
      </text>
    </comment>
    <comment ref="G13" authorId="0" shapeId="0">
      <text>
        <r>
          <rPr>
            <b/>
            <sz val="9"/>
            <color indexed="81"/>
            <rFont val="Tahoma"/>
            <charset val="1"/>
          </rPr>
          <t xml:space="preserve">Source: Anthropic, PBC Form S-1 (filed 26 Oct 2026)
p.23, p.158
</t>
        </r>
      </text>
    </comment>
    <comment ref="H13" authorId="0" shapeId="0">
      <text>
        <r>
          <rPr>
            <b/>
            <sz val="9"/>
            <color indexed="81"/>
            <rFont val="Tahoma"/>
            <charset val="1"/>
          </rPr>
          <t xml:space="preserve">Source: Anthropic, PBC Form S-1 (filed 26 Oct 2026)
p.23, p.158
</t>
        </r>
      </text>
    </comment>
    <comment ref="I13" authorId="0" shapeId="0">
      <text>
        <r>
          <rPr>
            <b/>
            <sz val="9"/>
            <color indexed="81"/>
            <rFont val="Tahoma"/>
            <charset val="1"/>
          </rPr>
          <t xml:space="preserve">Source: Anthropic, PBC Form S-1 (filed 26 Oct 2026)
p.23, p.158
</t>
        </r>
      </text>
    </comment>
    <comment ref="J13" authorId="0" shapeId="0">
      <text>
        <r>
          <rPr>
            <b/>
            <sz val="9"/>
            <color indexed="81"/>
            <rFont val="Tahoma"/>
            <charset val="1"/>
          </rPr>
          <t xml:space="preserve">Source: Anthropic, PBC Form S-1 (filed 26 Oct 2026)
p.23, p.158
</t>
        </r>
      </text>
    </comment>
    <comment ref="K13" authorId="0" shapeId="0">
      <text>
        <r>
          <rPr>
            <b/>
            <sz val="9"/>
            <color indexed="81"/>
            <rFont val="Tahoma"/>
            <charset val="1"/>
          </rPr>
          <t xml:space="preserve">Source: Anthropic, PBC Form S-1 (filed 26 Oct 2026)
p.23, p.158
</t>
        </r>
      </text>
    </comment>
    <comment ref="L13" authorId="0" shapeId="0">
      <text>
        <r>
          <rPr>
            <b/>
            <sz val="9"/>
            <color indexed="81"/>
            <rFont val="Tahoma"/>
            <charset val="1"/>
          </rPr>
          <t xml:space="preserve">Source: Anthropic, PBC Form S-1 (filed 26 Oct 2026)
p.23, p.158
</t>
        </r>
      </text>
    </comment>
    <comment ref="M13" authorId="0" shapeId="0">
      <text>
        <r>
          <rPr>
            <b/>
            <sz val="9"/>
            <color indexed="81"/>
            <rFont val="Tahoma"/>
            <charset val="1"/>
          </rPr>
          <t xml:space="preserve">Source: Anthropic, PBC Form S-1 (filed 26 Oct 2026)
p.23, p.158
</t>
        </r>
      </text>
    </comment>
    <comment ref="N13" authorId="0" shapeId="0">
      <text>
        <r>
          <rPr>
            <b/>
            <sz val="9"/>
            <color indexed="81"/>
            <rFont val="Tahoma"/>
            <charset val="1"/>
          </rPr>
          <t xml:space="preserve">Source: Anthropic, PBC Form S-1 (filed 26 Oct 2026)
p.23, p.158
</t>
        </r>
      </text>
    </comment>
    <comment ref="O13" authorId="0" shapeId="0">
      <text>
        <r>
          <rPr>
            <b/>
            <sz val="9"/>
            <color indexed="81"/>
            <rFont val="Tahoma"/>
            <charset val="1"/>
          </rPr>
          <t xml:space="preserve">Source: Anthropic, PBC Form S-1 (filed 26 Oct 2026)
p.23, p.158
</t>
        </r>
      </text>
    </comment>
    <comment ref="P13" authorId="0" shapeId="0">
      <text>
        <r>
          <rPr>
            <b/>
            <sz val="9"/>
            <color indexed="81"/>
            <rFont val="Tahoma"/>
            <charset val="1"/>
          </rPr>
          <t xml:space="preserve">Source: Anthropic, PBC Form S-1 (filed 26 Oct 2026)
p.23, p.158
</t>
        </r>
      </text>
    </comment>
    <comment ref="E14" authorId="0" shapeId="0">
      <text>
        <r>
          <rPr>
            <b/>
            <sz val="9"/>
            <color indexed="81"/>
            <rFont val="Tahoma"/>
            <charset val="1"/>
          </rPr>
          <t xml:space="preserve">Source: Anthropic, PBC Form S-1 (filed 26 Oct 2026)
p.23, p.158
</t>
        </r>
      </text>
    </comment>
    <comment ref="F14" authorId="0" shapeId="0">
      <text>
        <r>
          <rPr>
            <b/>
            <sz val="9"/>
            <color indexed="81"/>
            <rFont val="Tahoma"/>
            <charset val="1"/>
          </rPr>
          <t xml:space="preserve">Source: Anthropic, PBC Form S-1 (filed 26 Oct 2026)
p.23, p.158
</t>
        </r>
      </text>
    </comment>
    <comment ref="G14" authorId="0" shapeId="0">
      <text>
        <r>
          <rPr>
            <b/>
            <sz val="9"/>
            <color indexed="81"/>
            <rFont val="Tahoma"/>
            <charset val="1"/>
          </rPr>
          <t xml:space="preserve">Source: Anthropic, PBC Form S-1 (filed 26 Oct 2026)
p.23, p.158
</t>
        </r>
      </text>
    </comment>
    <comment ref="H14" authorId="0" shapeId="0">
      <text>
        <r>
          <rPr>
            <b/>
            <sz val="9"/>
            <color indexed="81"/>
            <rFont val="Tahoma"/>
            <charset val="1"/>
          </rPr>
          <t xml:space="preserve">Source: Anthropic, PBC Form S-1 (filed 26 Oct 2026)
p.23, p.158
</t>
        </r>
      </text>
    </comment>
    <comment ref="I14" authorId="0" shapeId="0">
      <text>
        <r>
          <rPr>
            <b/>
            <sz val="9"/>
            <color indexed="81"/>
            <rFont val="Tahoma"/>
            <charset val="1"/>
          </rPr>
          <t xml:space="preserve">Source: Anthropic, PBC Form S-1 (filed 26 Oct 2026)
p.23, p.158
</t>
        </r>
      </text>
    </comment>
    <comment ref="J14" authorId="0" shapeId="0">
      <text>
        <r>
          <rPr>
            <b/>
            <sz val="9"/>
            <color indexed="81"/>
            <rFont val="Tahoma"/>
            <charset val="1"/>
          </rPr>
          <t xml:space="preserve">Source: Anthropic, PBC Form S-1 (filed 26 Oct 2026)
p.23, p.158
</t>
        </r>
      </text>
    </comment>
    <comment ref="K14" authorId="0" shapeId="0">
      <text>
        <r>
          <rPr>
            <b/>
            <sz val="9"/>
            <color indexed="81"/>
            <rFont val="Tahoma"/>
            <charset val="1"/>
          </rPr>
          <t xml:space="preserve">Source: Anthropic, PBC Form S-1 (filed 26 Oct 2026)
p.23, p.158
</t>
        </r>
      </text>
    </comment>
    <comment ref="L14" authorId="0" shapeId="0">
      <text>
        <r>
          <rPr>
            <b/>
            <sz val="9"/>
            <color indexed="81"/>
            <rFont val="Tahoma"/>
            <charset val="1"/>
          </rPr>
          <t xml:space="preserve">Source: Anthropic, PBC Form S-1 (filed 26 Oct 2026)
p.23, p.158
</t>
        </r>
      </text>
    </comment>
    <comment ref="M14" authorId="0" shapeId="0">
      <text>
        <r>
          <rPr>
            <b/>
            <sz val="9"/>
            <color indexed="81"/>
            <rFont val="Tahoma"/>
            <charset val="1"/>
          </rPr>
          <t xml:space="preserve">Source: Anthropic, PBC Form S-1 (filed 26 Oct 2026)
p.23, p.158
</t>
        </r>
      </text>
    </comment>
    <comment ref="N14" authorId="0" shapeId="0">
      <text>
        <r>
          <rPr>
            <b/>
            <sz val="9"/>
            <color indexed="81"/>
            <rFont val="Tahoma"/>
            <charset val="1"/>
          </rPr>
          <t xml:space="preserve">Source: Anthropic, PBC Form S-1 (filed 26 Oct 2026)
p.23, p.158
</t>
        </r>
      </text>
    </comment>
    <comment ref="O14" authorId="0" shapeId="0">
      <text>
        <r>
          <rPr>
            <b/>
            <sz val="9"/>
            <color indexed="81"/>
            <rFont val="Tahoma"/>
            <charset val="1"/>
          </rPr>
          <t xml:space="preserve">Source: Anthropic, PBC Form S-1 (filed 26 Oct 2026)
p.23, p.158
</t>
        </r>
      </text>
    </comment>
    <comment ref="P14" authorId="0" shapeId="0">
      <text>
        <r>
          <rPr>
            <b/>
            <sz val="9"/>
            <color indexed="81"/>
            <rFont val="Tahoma"/>
            <charset val="1"/>
          </rPr>
          <t xml:space="preserve">Source: Anthropic, PBC Form S-1 (filed 26 Oct 2026)
p.23, p.158
</t>
        </r>
      </text>
    </comment>
    <comment ref="E16" authorId="0" shapeId="0">
      <text>
        <r>
          <rPr>
            <b/>
            <sz val="9"/>
            <color indexed="81"/>
            <rFont val="Tahoma"/>
            <charset val="1"/>
          </rPr>
          <t xml:space="preserve">Source: Anthropic, PBC Form S-1 (filed 26 Oct 2026)
p.23, p.158
</t>
        </r>
      </text>
    </comment>
    <comment ref="F16" authorId="0" shapeId="0">
      <text>
        <r>
          <rPr>
            <b/>
            <sz val="9"/>
            <color indexed="81"/>
            <rFont val="Tahoma"/>
            <charset val="1"/>
          </rPr>
          <t xml:space="preserve">Source: Anthropic, PBC Form S-1 (filed 26 Oct 2026)
p.23, p.158
</t>
        </r>
      </text>
    </comment>
    <comment ref="G16" authorId="0" shapeId="0">
      <text>
        <r>
          <rPr>
            <b/>
            <sz val="9"/>
            <color indexed="81"/>
            <rFont val="Tahoma"/>
            <charset val="1"/>
          </rPr>
          <t xml:space="preserve">Source: Anthropic, PBC Form S-1 (filed 26 Oct 2026)
p.23, p.158
</t>
        </r>
      </text>
    </comment>
    <comment ref="H16" authorId="0" shapeId="0">
      <text>
        <r>
          <rPr>
            <b/>
            <sz val="9"/>
            <color indexed="81"/>
            <rFont val="Tahoma"/>
            <charset val="1"/>
          </rPr>
          <t xml:space="preserve">Source: Anthropic, PBC Form S-1 (filed 26 Oct 2026)
p.23, p.158
</t>
        </r>
      </text>
    </comment>
    <comment ref="I16" authorId="0" shapeId="0">
      <text>
        <r>
          <rPr>
            <b/>
            <sz val="9"/>
            <color indexed="81"/>
            <rFont val="Tahoma"/>
            <charset val="1"/>
          </rPr>
          <t xml:space="preserve">Source: Anthropic, PBC Form S-1 (filed 26 Oct 2026)
p.23, p.158
</t>
        </r>
      </text>
    </comment>
    <comment ref="J16" authorId="0" shapeId="0">
      <text>
        <r>
          <rPr>
            <b/>
            <sz val="9"/>
            <color indexed="81"/>
            <rFont val="Tahoma"/>
            <charset val="1"/>
          </rPr>
          <t xml:space="preserve">Source: Anthropic, PBC Form S-1 (filed 26 Oct 2026)
p.23, p.158
</t>
        </r>
      </text>
    </comment>
    <comment ref="K16" authorId="0" shapeId="0">
      <text>
        <r>
          <rPr>
            <b/>
            <sz val="9"/>
            <color indexed="81"/>
            <rFont val="Tahoma"/>
            <charset val="1"/>
          </rPr>
          <t xml:space="preserve">Source: Anthropic, PBC Form S-1 (filed 26 Oct 2026)
p.23, p.158
</t>
        </r>
      </text>
    </comment>
    <comment ref="L16" authorId="0" shapeId="0">
      <text>
        <r>
          <rPr>
            <b/>
            <sz val="9"/>
            <color indexed="81"/>
            <rFont val="Tahoma"/>
            <charset val="1"/>
          </rPr>
          <t xml:space="preserve">Source: Anthropic, PBC Form S-1 (filed 26 Oct 2026)
p.23, p.158
</t>
        </r>
      </text>
    </comment>
    <comment ref="M16" authorId="0" shapeId="0">
      <text>
        <r>
          <rPr>
            <b/>
            <sz val="9"/>
            <color indexed="81"/>
            <rFont val="Tahoma"/>
            <charset val="1"/>
          </rPr>
          <t xml:space="preserve">Source: Anthropic, PBC Form S-1 (filed 26 Oct 2026)
p.23, p.158
</t>
        </r>
      </text>
    </comment>
    <comment ref="N16" authorId="0" shapeId="0">
      <text>
        <r>
          <rPr>
            <b/>
            <sz val="9"/>
            <color indexed="81"/>
            <rFont val="Tahoma"/>
            <charset val="1"/>
          </rPr>
          <t xml:space="preserve">Source: Anthropic, PBC Form S-1 (filed 26 Oct 2026)
p.23, p.158
</t>
        </r>
      </text>
    </comment>
    <comment ref="O16" authorId="0" shapeId="0">
      <text>
        <r>
          <rPr>
            <b/>
            <sz val="9"/>
            <color indexed="81"/>
            <rFont val="Tahoma"/>
            <charset val="1"/>
          </rPr>
          <t xml:space="preserve">Source: Anthropic, PBC Form S-1 (filed 26 Oct 2026)
p.23, p.158
</t>
        </r>
      </text>
    </comment>
    <comment ref="P16" authorId="0" shapeId="0">
      <text>
        <r>
          <rPr>
            <b/>
            <sz val="9"/>
            <color indexed="81"/>
            <rFont val="Tahoma"/>
            <charset val="1"/>
          </rPr>
          <t xml:space="preserve">Source: Anthropic, PBC Form S-1 (filed 26 Oct 2026)
p.23, p.158
</t>
        </r>
      </text>
    </comment>
    <comment ref="E17" authorId="0" shapeId="0">
      <text>
        <r>
          <rPr>
            <b/>
            <sz val="9"/>
            <color indexed="81"/>
            <rFont val="Tahoma"/>
            <charset val="1"/>
          </rPr>
          <t xml:space="preserve">Source: Anthropic, PBC Form S-1 (filed 26 Oct 2026)
p.23, p.158
</t>
        </r>
      </text>
    </comment>
    <comment ref="F17" authorId="0" shapeId="0">
      <text>
        <r>
          <rPr>
            <b/>
            <sz val="9"/>
            <color indexed="81"/>
            <rFont val="Tahoma"/>
            <charset val="1"/>
          </rPr>
          <t xml:space="preserve">Source: Anthropic, PBC Form S-1 (filed 26 Oct 2026)
p.23, p.158
</t>
        </r>
      </text>
    </comment>
    <comment ref="G17" authorId="0" shapeId="0">
      <text>
        <r>
          <rPr>
            <b/>
            <sz val="9"/>
            <color indexed="81"/>
            <rFont val="Tahoma"/>
            <charset val="1"/>
          </rPr>
          <t xml:space="preserve">Source: Anthropic, PBC Form S-1 (filed 26 Oct 2026)
p.23, p.158
</t>
        </r>
      </text>
    </comment>
    <comment ref="H17" authorId="0" shapeId="0">
      <text>
        <r>
          <rPr>
            <b/>
            <sz val="9"/>
            <color indexed="81"/>
            <rFont val="Tahoma"/>
            <charset val="1"/>
          </rPr>
          <t xml:space="preserve">Source: Anthropic, PBC Form S-1 (filed 26 Oct 2026)
p.23, p.158
</t>
        </r>
      </text>
    </comment>
    <comment ref="I17" authorId="0" shapeId="0">
      <text>
        <r>
          <rPr>
            <b/>
            <sz val="9"/>
            <color indexed="81"/>
            <rFont val="Tahoma"/>
            <charset val="1"/>
          </rPr>
          <t xml:space="preserve">Source: Anthropic, PBC Form S-1 (filed 26 Oct 2026)
p.23, p.158
</t>
        </r>
      </text>
    </comment>
    <comment ref="J17" authorId="0" shapeId="0">
      <text>
        <r>
          <rPr>
            <b/>
            <sz val="9"/>
            <color indexed="81"/>
            <rFont val="Tahoma"/>
            <charset val="1"/>
          </rPr>
          <t xml:space="preserve">Source: Anthropic, PBC Form S-1 (filed 26 Oct 2026)
p.23, p.158
</t>
        </r>
      </text>
    </comment>
    <comment ref="K17" authorId="0" shapeId="0">
      <text>
        <r>
          <rPr>
            <b/>
            <sz val="9"/>
            <color indexed="81"/>
            <rFont val="Tahoma"/>
            <charset val="1"/>
          </rPr>
          <t xml:space="preserve">Source: Anthropic, PBC Form S-1 (filed 26 Oct 2026)
p.23, p.158
</t>
        </r>
      </text>
    </comment>
    <comment ref="L17" authorId="0" shapeId="0">
      <text>
        <r>
          <rPr>
            <b/>
            <sz val="9"/>
            <color indexed="81"/>
            <rFont val="Tahoma"/>
            <charset val="1"/>
          </rPr>
          <t xml:space="preserve">Source: Anthropic, PBC Form S-1 (filed 26 Oct 2026)
p.23, p.158
</t>
        </r>
      </text>
    </comment>
    <comment ref="M17" authorId="0" shapeId="0">
      <text>
        <r>
          <rPr>
            <b/>
            <sz val="9"/>
            <color indexed="81"/>
            <rFont val="Tahoma"/>
            <charset val="1"/>
          </rPr>
          <t xml:space="preserve">Source: Anthropic, PBC Form S-1 (filed 26 Oct 2026)
p.23, p.158
</t>
        </r>
      </text>
    </comment>
    <comment ref="N17" authorId="0" shapeId="0">
      <text>
        <r>
          <rPr>
            <b/>
            <sz val="9"/>
            <color indexed="81"/>
            <rFont val="Tahoma"/>
            <charset val="1"/>
          </rPr>
          <t xml:space="preserve">Source: Anthropic, PBC Form S-1 (filed 26 Oct 2026)
p.23, p.158
</t>
        </r>
      </text>
    </comment>
    <comment ref="O17" authorId="0" shapeId="0">
      <text>
        <r>
          <rPr>
            <b/>
            <sz val="9"/>
            <color indexed="81"/>
            <rFont val="Tahoma"/>
            <charset val="1"/>
          </rPr>
          <t xml:space="preserve">Source: Anthropic, PBC Form S-1 (filed 26 Oct 2026)
p.23, p.158
</t>
        </r>
      </text>
    </comment>
    <comment ref="P17" authorId="0" shapeId="0">
      <text>
        <r>
          <rPr>
            <b/>
            <sz val="9"/>
            <color indexed="81"/>
            <rFont val="Tahoma"/>
            <charset val="1"/>
          </rPr>
          <t xml:space="preserve">Source: Anthropic, PBC Form S-1 (filed 26 Oct 2026)
p.23, p.158
</t>
        </r>
      </text>
    </comment>
    <comment ref="E18" authorId="0" shapeId="0">
      <text>
        <r>
          <rPr>
            <b/>
            <sz val="9"/>
            <color indexed="81"/>
            <rFont val="Tahoma"/>
            <charset val="1"/>
          </rPr>
          <t xml:space="preserve">Source: Anthropic, PBC Form S-1 (filed 26 Oct 2026)
p.23, p.158
</t>
        </r>
      </text>
    </comment>
    <comment ref="F18" authorId="0" shapeId="0">
      <text>
        <r>
          <rPr>
            <b/>
            <sz val="9"/>
            <color indexed="81"/>
            <rFont val="Tahoma"/>
            <charset val="1"/>
          </rPr>
          <t xml:space="preserve">Source: Anthropic, PBC Form S-1 (filed 26 Oct 2026)
p.23, p.158
</t>
        </r>
      </text>
    </comment>
    <comment ref="G18" authorId="0" shapeId="0">
      <text>
        <r>
          <rPr>
            <b/>
            <sz val="9"/>
            <color indexed="81"/>
            <rFont val="Tahoma"/>
            <charset val="1"/>
          </rPr>
          <t xml:space="preserve">Source: Anthropic, PBC Form S-1 (filed 26 Oct 2026)
p.23, p.158
</t>
        </r>
      </text>
    </comment>
    <comment ref="H18" authorId="0" shapeId="0">
      <text>
        <r>
          <rPr>
            <b/>
            <sz val="9"/>
            <color indexed="81"/>
            <rFont val="Tahoma"/>
            <charset val="1"/>
          </rPr>
          <t xml:space="preserve">Source: Anthropic, PBC Form S-1 (filed 26 Oct 2026)
p.23, p.158
</t>
        </r>
      </text>
    </comment>
    <comment ref="I18" authorId="0" shapeId="0">
      <text>
        <r>
          <rPr>
            <b/>
            <sz val="9"/>
            <color indexed="81"/>
            <rFont val="Tahoma"/>
            <charset val="1"/>
          </rPr>
          <t xml:space="preserve">Source: Anthropic, PBC Form S-1 (filed 26 Oct 2026)
p.23, p.158
</t>
        </r>
      </text>
    </comment>
    <comment ref="J18" authorId="0" shapeId="0">
      <text>
        <r>
          <rPr>
            <b/>
            <sz val="9"/>
            <color indexed="81"/>
            <rFont val="Tahoma"/>
            <charset val="1"/>
          </rPr>
          <t xml:space="preserve">Source: Anthropic, PBC Form S-1 (filed 26 Oct 2026)
p.23, p.158
</t>
        </r>
      </text>
    </comment>
    <comment ref="K18" authorId="0" shapeId="0">
      <text>
        <r>
          <rPr>
            <b/>
            <sz val="9"/>
            <color indexed="81"/>
            <rFont val="Tahoma"/>
            <charset val="1"/>
          </rPr>
          <t xml:space="preserve">Source: Anthropic, PBC Form S-1 (filed 26 Oct 2026)
p.23, p.158
</t>
        </r>
      </text>
    </comment>
    <comment ref="L18" authorId="0" shapeId="0">
      <text>
        <r>
          <rPr>
            <b/>
            <sz val="9"/>
            <color indexed="81"/>
            <rFont val="Tahoma"/>
            <charset val="1"/>
          </rPr>
          <t xml:space="preserve">Source: Anthropic, PBC Form S-1 (filed 26 Oct 2026)
p.23, p.158
</t>
        </r>
      </text>
    </comment>
    <comment ref="M18" authorId="0" shapeId="0">
      <text>
        <r>
          <rPr>
            <b/>
            <sz val="9"/>
            <color indexed="81"/>
            <rFont val="Tahoma"/>
            <charset val="1"/>
          </rPr>
          <t xml:space="preserve">Source: Anthropic, PBC Form S-1 (filed 26 Oct 2026)
p.23, p.158
</t>
        </r>
      </text>
    </comment>
    <comment ref="N18" authorId="0" shapeId="0">
      <text>
        <r>
          <rPr>
            <b/>
            <sz val="9"/>
            <color indexed="81"/>
            <rFont val="Tahoma"/>
            <charset val="1"/>
          </rPr>
          <t xml:space="preserve">Source: Anthropic, PBC Form S-1 (filed 26 Oct 2026)
p.23, p.158
</t>
        </r>
      </text>
    </comment>
    <comment ref="O18" authorId="0" shapeId="0">
      <text>
        <r>
          <rPr>
            <b/>
            <sz val="9"/>
            <color indexed="81"/>
            <rFont val="Tahoma"/>
            <charset val="1"/>
          </rPr>
          <t xml:space="preserve">Source: Anthropic, PBC Form S-1 (filed 26 Oct 2026)
p.23, p.158
</t>
        </r>
      </text>
    </comment>
    <comment ref="P18" authorId="0" shapeId="0">
      <text>
        <r>
          <rPr>
            <b/>
            <sz val="9"/>
            <color indexed="81"/>
            <rFont val="Tahoma"/>
            <charset val="1"/>
          </rPr>
          <t xml:space="preserve">Source: Anthropic, PBC Form S-1 (filed 26 Oct 2026)
p.23, p.158
</t>
        </r>
      </text>
    </comment>
    <comment ref="E19" authorId="0" shapeId="0">
      <text>
        <r>
          <rPr>
            <b/>
            <sz val="9"/>
            <color indexed="81"/>
            <rFont val="Tahoma"/>
            <charset val="1"/>
          </rPr>
          <t xml:space="preserve">Source: Anthropic, PBC Form S-1 (filed 26 Oct 2026)
p.23, p.158 (F-38: share-purchase agreement marks)
</t>
        </r>
      </text>
    </comment>
    <comment ref="F19" authorId="0" shapeId="0">
      <text>
        <r>
          <rPr>
            <b/>
            <sz val="9"/>
            <color indexed="81"/>
            <rFont val="Tahoma"/>
            <charset val="1"/>
          </rPr>
          <t xml:space="preserve">Source: Anthropic, PBC Form S-1 (filed 26 Oct 2026)
p.23, p.158 (F-38: share-purchase agreement marks)
</t>
        </r>
      </text>
    </comment>
    <comment ref="G19" authorId="0" shapeId="0">
      <text>
        <r>
          <rPr>
            <b/>
            <sz val="9"/>
            <color indexed="81"/>
            <rFont val="Tahoma"/>
            <charset val="1"/>
          </rPr>
          <t xml:space="preserve">Source: Anthropic, PBC Form S-1 (filed 26 Oct 2026)
p.23, p.158 (F-38: share-purchase agreement marks)
</t>
        </r>
      </text>
    </comment>
    <comment ref="H19" authorId="0" shapeId="0">
      <text>
        <r>
          <rPr>
            <b/>
            <sz val="9"/>
            <color indexed="81"/>
            <rFont val="Tahoma"/>
            <charset val="1"/>
          </rPr>
          <t xml:space="preserve">Source: Anthropic, PBC Form S-1 (filed 26 Oct 2026)
p.23, p.158 (F-38: share-purchase agreement marks)
</t>
        </r>
      </text>
    </comment>
    <comment ref="I19" authorId="0" shapeId="0">
      <text>
        <r>
          <rPr>
            <b/>
            <sz val="9"/>
            <color indexed="81"/>
            <rFont val="Tahoma"/>
            <charset val="1"/>
          </rPr>
          <t xml:space="preserve">Source: Anthropic, PBC Form S-1 (filed 26 Oct 2026)
p.23, p.158 (F-38: share-purchase agreement marks)
</t>
        </r>
      </text>
    </comment>
    <comment ref="J19" authorId="0" shapeId="0">
      <text>
        <r>
          <rPr>
            <b/>
            <sz val="9"/>
            <color indexed="81"/>
            <rFont val="Tahoma"/>
            <charset val="1"/>
          </rPr>
          <t xml:space="preserve">Source: Anthropic, PBC Form S-1 (filed 26 Oct 2026)
p.23, p.158 (F-38: share-purchase agreement marks)
</t>
        </r>
      </text>
    </comment>
    <comment ref="K19" authorId="0" shapeId="0">
      <text>
        <r>
          <rPr>
            <b/>
            <sz val="9"/>
            <color indexed="81"/>
            <rFont val="Tahoma"/>
            <charset val="1"/>
          </rPr>
          <t xml:space="preserve">Source: Anthropic, PBC Form S-1 (filed 26 Oct 2026)
p.23, p.158 (F-38: share-purchase agreement marks)
</t>
        </r>
      </text>
    </comment>
    <comment ref="L19" authorId="0" shapeId="0">
      <text>
        <r>
          <rPr>
            <b/>
            <sz val="9"/>
            <color indexed="81"/>
            <rFont val="Tahoma"/>
            <charset val="1"/>
          </rPr>
          <t xml:space="preserve">Source: Anthropic, PBC Form S-1 (filed 26 Oct 2026)
p.23, p.158 (F-38: share-purchase agreement marks)
</t>
        </r>
      </text>
    </comment>
    <comment ref="M19" authorId="0" shapeId="0">
      <text>
        <r>
          <rPr>
            <b/>
            <sz val="9"/>
            <color indexed="81"/>
            <rFont val="Tahoma"/>
            <charset val="1"/>
          </rPr>
          <t xml:space="preserve">Source: Anthropic, PBC Form S-1 (filed 26 Oct 2026)
p.23, p.158 (F-38: share-purchase agreement marks)
</t>
        </r>
      </text>
    </comment>
    <comment ref="N19" authorId="0" shapeId="0">
      <text>
        <r>
          <rPr>
            <b/>
            <sz val="9"/>
            <color indexed="81"/>
            <rFont val="Tahoma"/>
            <charset val="1"/>
          </rPr>
          <t xml:space="preserve">Source: Anthropic, PBC Form S-1 (filed 26 Oct 2026)
p.23, p.158 (F-38: share-purchase agreement marks)
</t>
        </r>
      </text>
    </comment>
    <comment ref="O19" authorId="0" shapeId="0">
      <text>
        <r>
          <rPr>
            <b/>
            <sz val="9"/>
            <color indexed="81"/>
            <rFont val="Tahoma"/>
            <charset val="1"/>
          </rPr>
          <t xml:space="preserve">Source: Anthropic, PBC Form S-1 (filed 26 Oct 2026)
p.23, p.158 (F-38: share-purchase agreement marks)
</t>
        </r>
      </text>
    </comment>
    <comment ref="P19" authorId="0" shapeId="0">
      <text>
        <r>
          <rPr>
            <b/>
            <sz val="9"/>
            <color indexed="81"/>
            <rFont val="Tahoma"/>
            <charset val="1"/>
          </rPr>
          <t xml:space="preserve">Source: Anthropic, PBC Form S-1 (filed 26 Oct 2026)
p.23, p.158 (F-38: share-purchase agreement marks)
</t>
        </r>
      </text>
    </comment>
    <comment ref="E20" authorId="0" shapeId="0">
      <text>
        <r>
          <rPr>
            <b/>
            <sz val="9"/>
            <color indexed="81"/>
            <rFont val="Tahoma"/>
            <charset val="1"/>
          </rPr>
          <t xml:space="preserve">Source: Anthropic, PBC Form S-1 (filed 26 Oct 2026)
p.23, p.158
</t>
        </r>
      </text>
    </comment>
    <comment ref="F20" authorId="0" shapeId="0">
      <text>
        <r>
          <rPr>
            <b/>
            <sz val="9"/>
            <color indexed="81"/>
            <rFont val="Tahoma"/>
            <charset val="1"/>
          </rPr>
          <t xml:space="preserve">Source: Anthropic, PBC Form S-1 (filed 26 Oct 2026)
p.23, p.158
</t>
        </r>
      </text>
    </comment>
    <comment ref="G20" authorId="0" shapeId="0">
      <text>
        <r>
          <rPr>
            <b/>
            <sz val="9"/>
            <color indexed="81"/>
            <rFont val="Tahoma"/>
            <charset val="1"/>
          </rPr>
          <t xml:space="preserve">Source: Anthropic, PBC Form S-1 (filed 26 Oct 2026)
p.23, p.158
</t>
        </r>
      </text>
    </comment>
    <comment ref="H20" authorId="0" shapeId="0">
      <text>
        <r>
          <rPr>
            <b/>
            <sz val="9"/>
            <color indexed="81"/>
            <rFont val="Tahoma"/>
            <charset val="1"/>
          </rPr>
          <t xml:space="preserve">Source: Anthropic, PBC Form S-1 (filed 26 Oct 2026)
p.23, p.158
</t>
        </r>
      </text>
    </comment>
    <comment ref="I20" authorId="0" shapeId="0">
      <text>
        <r>
          <rPr>
            <b/>
            <sz val="9"/>
            <color indexed="81"/>
            <rFont val="Tahoma"/>
            <charset val="1"/>
          </rPr>
          <t xml:space="preserve">Source: Anthropic, PBC Form S-1 (filed 26 Oct 2026)
p.23, p.158
</t>
        </r>
      </text>
    </comment>
    <comment ref="J20" authorId="0" shapeId="0">
      <text>
        <r>
          <rPr>
            <b/>
            <sz val="9"/>
            <color indexed="81"/>
            <rFont val="Tahoma"/>
            <charset val="1"/>
          </rPr>
          <t xml:space="preserve">Source: Anthropic, PBC Form S-1 (filed 26 Oct 2026)
p.23, p.158
</t>
        </r>
      </text>
    </comment>
    <comment ref="K20" authorId="0" shapeId="0">
      <text>
        <r>
          <rPr>
            <b/>
            <sz val="9"/>
            <color indexed="81"/>
            <rFont val="Tahoma"/>
            <charset val="1"/>
          </rPr>
          <t xml:space="preserve">Source: Anthropic, PBC Form S-1 (filed 26 Oct 2026)
p.23, p.158
</t>
        </r>
      </text>
    </comment>
    <comment ref="L20" authorId="0" shapeId="0">
      <text>
        <r>
          <rPr>
            <b/>
            <sz val="9"/>
            <color indexed="81"/>
            <rFont val="Tahoma"/>
            <charset val="1"/>
          </rPr>
          <t xml:space="preserve">Source: Anthropic, PBC Form S-1 (filed 26 Oct 2026)
p.23, p.158
</t>
        </r>
      </text>
    </comment>
    <comment ref="M20" authorId="0" shapeId="0">
      <text>
        <r>
          <rPr>
            <b/>
            <sz val="9"/>
            <color indexed="81"/>
            <rFont val="Tahoma"/>
            <charset val="1"/>
          </rPr>
          <t xml:space="preserve">Source: Anthropic, PBC Form S-1 (filed 26 Oct 2026)
p.23, p.158
</t>
        </r>
      </text>
    </comment>
    <comment ref="N20" authorId="0" shapeId="0">
      <text>
        <r>
          <rPr>
            <b/>
            <sz val="9"/>
            <color indexed="81"/>
            <rFont val="Tahoma"/>
            <charset val="1"/>
          </rPr>
          <t xml:space="preserve">Source: Anthropic, PBC Form S-1 (filed 26 Oct 2026)
p.23, p.158
</t>
        </r>
      </text>
    </comment>
    <comment ref="O20" authorId="0" shapeId="0">
      <text>
        <r>
          <rPr>
            <b/>
            <sz val="9"/>
            <color indexed="81"/>
            <rFont val="Tahoma"/>
            <charset val="1"/>
          </rPr>
          <t xml:space="preserve">Source: Anthropic, PBC Form S-1 (filed 26 Oct 2026)
p.23, p.158
</t>
        </r>
      </text>
    </comment>
    <comment ref="P20" authorId="0" shapeId="0">
      <text>
        <r>
          <rPr>
            <b/>
            <sz val="9"/>
            <color indexed="81"/>
            <rFont val="Tahoma"/>
            <charset val="1"/>
          </rPr>
          <t xml:space="preserve">Source: Anthropic, PBC Form S-1 (filed 26 Oct 2026)
p.23, p.158
</t>
        </r>
      </text>
    </comment>
    <comment ref="E22" authorId="0" shapeId="0">
      <text>
        <r>
          <rPr>
            <b/>
            <sz val="9"/>
            <color indexed="81"/>
            <rFont val="Tahoma"/>
            <charset val="1"/>
          </rPr>
          <t xml:space="preserve">Source: Anthropic, PBC Form S-1 (filed 26 Oct 2026)
p.23, p.158
</t>
        </r>
      </text>
    </comment>
    <comment ref="F22" authorId="0" shapeId="0">
      <text>
        <r>
          <rPr>
            <b/>
            <sz val="9"/>
            <color indexed="81"/>
            <rFont val="Tahoma"/>
            <charset val="1"/>
          </rPr>
          <t xml:space="preserve">Source: Anthropic, PBC Form S-1 (filed 26 Oct 2026)
p.23, p.158
</t>
        </r>
      </text>
    </comment>
    <comment ref="G22" authorId="0" shapeId="0">
      <text>
        <r>
          <rPr>
            <b/>
            <sz val="9"/>
            <color indexed="81"/>
            <rFont val="Tahoma"/>
            <charset val="1"/>
          </rPr>
          <t xml:space="preserve">Source: Anthropic, PBC Form S-1 (filed 26 Oct 2026)
p.23, p.158
</t>
        </r>
      </text>
    </comment>
    <comment ref="H22" authorId="0" shapeId="0">
      <text>
        <r>
          <rPr>
            <b/>
            <sz val="9"/>
            <color indexed="81"/>
            <rFont val="Tahoma"/>
            <charset val="1"/>
          </rPr>
          <t xml:space="preserve">Source: Anthropic, PBC Form S-1 (filed 26 Oct 2026)
p.23, p.158
</t>
        </r>
      </text>
    </comment>
    <comment ref="I22" authorId="0" shapeId="0">
      <text>
        <r>
          <rPr>
            <b/>
            <sz val="9"/>
            <color indexed="81"/>
            <rFont val="Tahoma"/>
            <charset val="1"/>
          </rPr>
          <t xml:space="preserve">Source: Anthropic, PBC Form S-1 (filed 26 Oct 2026)
p.23, p.158
</t>
        </r>
      </text>
    </comment>
    <comment ref="J22" authorId="0" shapeId="0">
      <text>
        <r>
          <rPr>
            <b/>
            <sz val="9"/>
            <color indexed="81"/>
            <rFont val="Tahoma"/>
            <charset val="1"/>
          </rPr>
          <t xml:space="preserve">Source: Anthropic, PBC Form S-1 (filed 26 Oct 2026)
p.23, p.158
</t>
        </r>
      </text>
    </comment>
    <comment ref="K22" authorId="0" shapeId="0">
      <text>
        <r>
          <rPr>
            <b/>
            <sz val="9"/>
            <color indexed="81"/>
            <rFont val="Tahoma"/>
            <charset val="1"/>
          </rPr>
          <t xml:space="preserve">Source: Anthropic, PBC Form S-1 (filed 26 Oct 2026)
p.23, p.158
</t>
        </r>
      </text>
    </comment>
    <comment ref="L22" authorId="0" shapeId="0">
      <text>
        <r>
          <rPr>
            <b/>
            <sz val="9"/>
            <color indexed="81"/>
            <rFont val="Tahoma"/>
            <charset val="1"/>
          </rPr>
          <t xml:space="preserve">Source: Anthropic, PBC Form S-1 (filed 26 Oct 2026)
p.23, p.158
</t>
        </r>
      </text>
    </comment>
    <comment ref="M22" authorId="0" shapeId="0">
      <text>
        <r>
          <rPr>
            <b/>
            <sz val="9"/>
            <color indexed="81"/>
            <rFont val="Tahoma"/>
            <charset val="1"/>
          </rPr>
          <t xml:space="preserve">Source: Anthropic, PBC Form S-1 (filed 26 Oct 2026)
p.23, p.158
</t>
        </r>
      </text>
    </comment>
    <comment ref="N22" authorId="0" shapeId="0">
      <text>
        <r>
          <rPr>
            <b/>
            <sz val="9"/>
            <color indexed="81"/>
            <rFont val="Tahoma"/>
            <charset val="1"/>
          </rPr>
          <t xml:space="preserve">Source: Anthropic, PBC Form S-1 (filed 26 Oct 2026)
p.23, p.158
</t>
        </r>
      </text>
    </comment>
    <comment ref="O22" authorId="0" shapeId="0">
      <text>
        <r>
          <rPr>
            <b/>
            <sz val="9"/>
            <color indexed="81"/>
            <rFont val="Tahoma"/>
            <charset val="1"/>
          </rPr>
          <t xml:space="preserve">Source: Anthropic, PBC Form S-1 (filed 26 Oct 2026)
p.23, p.158
</t>
        </r>
      </text>
    </comment>
    <comment ref="P22" authorId="0" shapeId="0">
      <text>
        <r>
          <rPr>
            <b/>
            <sz val="9"/>
            <color indexed="81"/>
            <rFont val="Tahoma"/>
            <charset val="1"/>
          </rPr>
          <t xml:space="preserve">Source: Anthropic, PBC Form S-1 (filed 26 Oct 2026)
p.23, p.158
</t>
        </r>
      </text>
    </comment>
    <comment ref="E23" authorId="0" shapeId="0">
      <text>
        <r>
          <rPr>
            <b/>
            <sz val="9"/>
            <color indexed="81"/>
            <rFont val="Tahoma"/>
            <charset val="1"/>
          </rPr>
          <t xml:space="preserve">Source: Anthropic, PBC Form S-1 (filed 26 Oct 2026)
F-13, p.158; Q2'26 = H1 less Q1 (Derived)
</t>
        </r>
      </text>
    </comment>
    <comment ref="F23" authorId="0" shapeId="0">
      <text>
        <r>
          <rPr>
            <b/>
            <sz val="9"/>
            <color indexed="81"/>
            <rFont val="Tahoma"/>
            <charset val="1"/>
          </rPr>
          <t xml:space="preserve">Source: Anthropic, PBC Form S-1 (filed 26 Oct 2026)
F-13, p.158; Q2'26 = H1 less Q1 (Derived)
</t>
        </r>
      </text>
    </comment>
    <comment ref="G23" authorId="0" shapeId="0">
      <text>
        <r>
          <rPr>
            <b/>
            <sz val="9"/>
            <color indexed="81"/>
            <rFont val="Tahoma"/>
            <charset val="1"/>
          </rPr>
          <t xml:space="preserve">Source: Anthropic, PBC Form S-1 (filed 26 Oct 2026)
F-13, p.158; Q2'26 = H1 less Q1 (Derived)
</t>
        </r>
      </text>
    </comment>
    <comment ref="H23" authorId="0" shapeId="0">
      <text>
        <r>
          <rPr>
            <b/>
            <sz val="9"/>
            <color indexed="81"/>
            <rFont val="Tahoma"/>
            <charset val="1"/>
          </rPr>
          <t xml:space="preserve">Source: Anthropic, PBC Form S-1 (filed 26 Oct 2026)
F-13, p.158; Q2'26 = H1 less Q1 (Derived)
</t>
        </r>
      </text>
    </comment>
    <comment ref="I23" authorId="0" shapeId="0">
      <text>
        <r>
          <rPr>
            <b/>
            <sz val="9"/>
            <color indexed="81"/>
            <rFont val="Tahoma"/>
            <charset val="1"/>
          </rPr>
          <t xml:space="preserve">Source: Anthropic, PBC Form S-1 (filed 26 Oct 2026)
F-13, p.158; Q2'26 = H1 less Q1 (Derived)
</t>
        </r>
      </text>
    </comment>
    <comment ref="J23" authorId="0" shapeId="0">
      <text>
        <r>
          <rPr>
            <b/>
            <sz val="9"/>
            <color indexed="81"/>
            <rFont val="Tahoma"/>
            <charset val="1"/>
          </rPr>
          <t xml:space="preserve">Source: Anthropic, PBC Form S-1 (filed 26 Oct 2026)
F-13, p.158; Q2'26 = H1 less Q1 (Derived)
</t>
        </r>
      </text>
    </comment>
    <comment ref="K23" authorId="0" shapeId="0">
      <text>
        <r>
          <rPr>
            <b/>
            <sz val="9"/>
            <color indexed="81"/>
            <rFont val="Tahoma"/>
            <charset val="1"/>
          </rPr>
          <t xml:space="preserve">Source: Anthropic, PBC Form S-1 (filed 26 Oct 2026)
F-13, p.158; Q2'26 = H1 less Q1 (Derived)
</t>
        </r>
      </text>
    </comment>
    <comment ref="L23" authorId="0" shapeId="0">
      <text>
        <r>
          <rPr>
            <b/>
            <sz val="9"/>
            <color indexed="81"/>
            <rFont val="Tahoma"/>
            <charset val="1"/>
          </rPr>
          <t xml:space="preserve">Source: Anthropic, PBC Form S-1 (filed 26 Oct 2026)
F-13, p.158; Q2'26 = H1 less Q1 (Derived)
</t>
        </r>
      </text>
    </comment>
    <comment ref="M23" authorId="0" shapeId="0">
      <text>
        <r>
          <rPr>
            <b/>
            <sz val="9"/>
            <color indexed="81"/>
            <rFont val="Tahoma"/>
            <charset val="1"/>
          </rPr>
          <t xml:space="preserve">Source: Anthropic, PBC Form S-1 (filed 26 Oct 2026)
F-13, p.158; Q2'26 = H1 less Q1 (Derived)
</t>
        </r>
      </text>
    </comment>
    <comment ref="N23" authorId="0" shapeId="0">
      <text>
        <r>
          <rPr>
            <b/>
            <sz val="9"/>
            <color indexed="81"/>
            <rFont val="Tahoma"/>
            <charset val="1"/>
          </rPr>
          <t xml:space="preserve">Source: Anthropic, PBC Form S-1 (filed 26 Oct 2026)
F-13, p.158; Q2'26 = H1 less Q1 (Derived)
</t>
        </r>
      </text>
    </comment>
    <comment ref="O23" authorId="0" shapeId="0">
      <text>
        <r>
          <rPr>
            <b/>
            <sz val="9"/>
            <color indexed="81"/>
            <rFont val="Tahoma"/>
            <charset val="1"/>
          </rPr>
          <t xml:space="preserve">Source: Anthropic, PBC Form S-1 (filed 26 Oct 2026)
F-13, p.158; Q2'26 = H1 less Q1 (Derived)
</t>
        </r>
      </text>
    </comment>
    <comment ref="E37" authorId="0" shapeId="0">
      <text>
        <r>
          <rPr>
            <b/>
            <sz val="9"/>
            <color indexed="81"/>
            <rFont val="Tahoma"/>
            <charset val="1"/>
          </rPr>
          <t xml:space="preserve">Source: Anthropic, PBC Form S-1 (filed 26 Oct 2026)
F-40
</t>
        </r>
      </text>
    </comment>
    <comment ref="F37" authorId="0" shapeId="0">
      <text>
        <r>
          <rPr>
            <b/>
            <sz val="9"/>
            <color indexed="81"/>
            <rFont val="Tahoma"/>
            <charset val="1"/>
          </rPr>
          <t xml:space="preserve">Source: Anthropic, PBC Form S-1 (filed 26 Oct 2026)
F-40
</t>
        </r>
      </text>
    </comment>
    <comment ref="G37" authorId="0" shapeId="0">
      <text>
        <r>
          <rPr>
            <b/>
            <sz val="9"/>
            <color indexed="81"/>
            <rFont val="Tahoma"/>
            <charset val="1"/>
          </rPr>
          <t xml:space="preserve">Source: Anthropic, PBC Form S-1 (filed 26 Oct 2026)
F-40
</t>
        </r>
      </text>
    </comment>
    <comment ref="H37" authorId="0" shapeId="0">
      <text>
        <r>
          <rPr>
            <b/>
            <sz val="9"/>
            <color indexed="81"/>
            <rFont val="Tahoma"/>
            <charset val="1"/>
          </rPr>
          <t xml:space="preserve">Source: Anthropic, PBC Form S-1 (filed 26 Oct 2026)
F-40
</t>
        </r>
      </text>
    </comment>
    <comment ref="I37" authorId="0" shapeId="0">
      <text>
        <r>
          <rPr>
            <b/>
            <sz val="9"/>
            <color indexed="81"/>
            <rFont val="Tahoma"/>
            <charset val="1"/>
          </rPr>
          <t xml:space="preserve">Source: Anthropic, PBC Form S-1 (filed 26 Oct 2026)
F-40
</t>
        </r>
      </text>
    </comment>
    <comment ref="J37" authorId="0" shapeId="0">
      <text>
        <r>
          <rPr>
            <b/>
            <sz val="9"/>
            <color indexed="81"/>
            <rFont val="Tahoma"/>
            <charset val="1"/>
          </rPr>
          <t xml:space="preserve">Source: Anthropic, PBC Form S-1 (filed 26 Oct 2026)
F-40
</t>
        </r>
      </text>
    </comment>
    <comment ref="E38" authorId="0" shapeId="0">
      <text>
        <r>
          <rPr>
            <b/>
            <sz val="9"/>
            <color indexed="81"/>
            <rFont val="Tahoma"/>
            <charset val="1"/>
          </rPr>
          <t xml:space="preserve">Source: Anthropic, PBC Form S-1 (filed 26 Oct 2026)
F-40
</t>
        </r>
      </text>
    </comment>
    <comment ref="F38" authorId="0" shapeId="0">
      <text>
        <r>
          <rPr>
            <b/>
            <sz val="9"/>
            <color indexed="81"/>
            <rFont val="Tahoma"/>
            <charset val="1"/>
          </rPr>
          <t xml:space="preserve">Source: Anthropic, PBC Form S-1 (filed 26 Oct 2026)
F-40
</t>
        </r>
      </text>
    </comment>
    <comment ref="G38" authorId="0" shapeId="0">
      <text>
        <r>
          <rPr>
            <b/>
            <sz val="9"/>
            <color indexed="81"/>
            <rFont val="Tahoma"/>
            <charset val="1"/>
          </rPr>
          <t xml:space="preserve">Source: Anthropic, PBC Form S-1 (filed 26 Oct 2026)
F-40
</t>
        </r>
      </text>
    </comment>
    <comment ref="H38" authorId="0" shapeId="0">
      <text>
        <r>
          <rPr>
            <b/>
            <sz val="9"/>
            <color indexed="81"/>
            <rFont val="Tahoma"/>
            <charset val="1"/>
          </rPr>
          <t xml:space="preserve">Source: Anthropic, PBC Form S-1 (filed 26 Oct 2026)
F-40
</t>
        </r>
      </text>
    </comment>
    <comment ref="I38" authorId="0" shapeId="0">
      <text>
        <r>
          <rPr>
            <b/>
            <sz val="9"/>
            <color indexed="81"/>
            <rFont val="Tahoma"/>
            <charset val="1"/>
          </rPr>
          <t xml:space="preserve">Source: Anthropic, PBC Form S-1 (filed 26 Oct 2026)
F-40
</t>
        </r>
      </text>
    </comment>
    <comment ref="J38" authorId="0" shapeId="0">
      <text>
        <r>
          <rPr>
            <b/>
            <sz val="9"/>
            <color indexed="81"/>
            <rFont val="Tahoma"/>
            <charset val="1"/>
          </rPr>
          <t xml:space="preserve">Source: Anthropic, PBC Form S-1 (filed 26 Oct 2026)
F-40
</t>
        </r>
      </text>
    </comment>
    <comment ref="E39" authorId="0" shapeId="0">
      <text>
        <r>
          <rPr>
            <b/>
            <sz val="9"/>
            <color indexed="81"/>
            <rFont val="Tahoma"/>
            <charset val="1"/>
          </rPr>
          <t xml:space="preserve">Source: Anthropic, PBC Form S-1 (filed 26 Oct 2026)
F-40
</t>
        </r>
      </text>
    </comment>
    <comment ref="F39" authorId="0" shapeId="0">
      <text>
        <r>
          <rPr>
            <b/>
            <sz val="9"/>
            <color indexed="81"/>
            <rFont val="Tahoma"/>
            <charset val="1"/>
          </rPr>
          <t xml:space="preserve">Source: Anthropic, PBC Form S-1 (filed 26 Oct 2026)
F-40
</t>
        </r>
      </text>
    </comment>
    <comment ref="G39" authorId="0" shapeId="0">
      <text>
        <r>
          <rPr>
            <b/>
            <sz val="9"/>
            <color indexed="81"/>
            <rFont val="Tahoma"/>
            <charset val="1"/>
          </rPr>
          <t xml:space="preserve">Source: Anthropic, PBC Form S-1 (filed 26 Oct 2026)
F-40
</t>
        </r>
      </text>
    </comment>
    <comment ref="H39" authorId="0" shapeId="0">
      <text>
        <r>
          <rPr>
            <b/>
            <sz val="9"/>
            <color indexed="81"/>
            <rFont val="Tahoma"/>
            <charset val="1"/>
          </rPr>
          <t xml:space="preserve">Source: Anthropic, PBC Form S-1 (filed 26 Oct 2026)
F-40
</t>
        </r>
      </text>
    </comment>
    <comment ref="I39" authorId="0" shapeId="0">
      <text>
        <r>
          <rPr>
            <b/>
            <sz val="9"/>
            <color indexed="81"/>
            <rFont val="Tahoma"/>
            <charset val="1"/>
          </rPr>
          <t xml:space="preserve">Source: Anthropic, PBC Form S-1 (filed 26 Oct 2026)
F-40
</t>
        </r>
      </text>
    </comment>
    <comment ref="J39" authorId="0" shapeId="0">
      <text>
        <r>
          <rPr>
            <b/>
            <sz val="9"/>
            <color indexed="81"/>
            <rFont val="Tahoma"/>
            <charset val="1"/>
          </rPr>
          <t xml:space="preserve">Source: Anthropic, PBC Form S-1 (filed 26 Oct 2026)
F-40
</t>
        </r>
      </text>
    </comment>
    <comment ref="E40" authorId="0" shapeId="0">
      <text>
        <r>
          <rPr>
            <b/>
            <sz val="9"/>
            <color indexed="81"/>
            <rFont val="Tahoma"/>
            <charset val="1"/>
          </rPr>
          <t xml:space="preserve">Source: Anthropic, PBC Form S-1 (filed 26 Oct 2026)
F-40
</t>
        </r>
      </text>
    </comment>
    <comment ref="F40" authorId="0" shapeId="0">
      <text>
        <r>
          <rPr>
            <b/>
            <sz val="9"/>
            <color indexed="81"/>
            <rFont val="Tahoma"/>
            <charset val="1"/>
          </rPr>
          <t xml:space="preserve">Source: Anthropic, PBC Form S-1 (filed 26 Oct 2026)
F-40
</t>
        </r>
      </text>
    </comment>
    <comment ref="G40" authorId="0" shapeId="0">
      <text>
        <r>
          <rPr>
            <b/>
            <sz val="9"/>
            <color indexed="81"/>
            <rFont val="Tahoma"/>
            <charset val="1"/>
          </rPr>
          <t xml:space="preserve">Source: Anthropic, PBC Form S-1 (filed 26 Oct 2026)
F-40
</t>
        </r>
      </text>
    </comment>
    <comment ref="H40" authorId="0" shapeId="0">
      <text>
        <r>
          <rPr>
            <b/>
            <sz val="9"/>
            <color indexed="81"/>
            <rFont val="Tahoma"/>
            <charset val="1"/>
          </rPr>
          <t xml:space="preserve">Source: Anthropic, PBC Form S-1 (filed 26 Oct 2026)
F-40
</t>
        </r>
      </text>
    </comment>
    <comment ref="I40" authorId="0" shapeId="0">
      <text>
        <r>
          <rPr>
            <b/>
            <sz val="9"/>
            <color indexed="81"/>
            <rFont val="Tahoma"/>
            <charset val="1"/>
          </rPr>
          <t xml:space="preserve">Source: Anthropic, PBC Form S-1 (filed 26 Oct 2026)
F-40
</t>
        </r>
      </text>
    </comment>
    <comment ref="J40" authorId="0" shapeId="0">
      <text>
        <r>
          <rPr>
            <b/>
            <sz val="9"/>
            <color indexed="81"/>
            <rFont val="Tahoma"/>
            <charset val="1"/>
          </rPr>
          <t xml:space="preserve">Source: Anthropic, PBC Form S-1 (filed 26 Oct 2026)
F-40
</t>
        </r>
      </text>
    </comment>
    <comment ref="E41" authorId="0" shapeId="0">
      <text>
        <r>
          <rPr>
            <b/>
            <sz val="9"/>
            <color indexed="81"/>
            <rFont val="Tahoma"/>
            <charset val="1"/>
          </rPr>
          <t xml:space="preserve">Source: Anthropic, PBC Form S-1 (filed 26 Oct 2026)
F-40
</t>
        </r>
      </text>
    </comment>
    <comment ref="F41" authorId="0" shapeId="0">
      <text>
        <r>
          <rPr>
            <b/>
            <sz val="9"/>
            <color indexed="81"/>
            <rFont val="Tahoma"/>
            <charset val="1"/>
          </rPr>
          <t xml:space="preserve">Source: Anthropic, PBC Form S-1 (filed 26 Oct 2026)
F-40
</t>
        </r>
      </text>
    </comment>
    <comment ref="G41" authorId="0" shapeId="0">
      <text>
        <r>
          <rPr>
            <b/>
            <sz val="9"/>
            <color indexed="81"/>
            <rFont val="Tahoma"/>
            <charset val="1"/>
          </rPr>
          <t xml:space="preserve">Source: Anthropic, PBC Form S-1 (filed 26 Oct 2026)
F-40
</t>
        </r>
      </text>
    </comment>
    <comment ref="H41" authorId="0" shapeId="0">
      <text>
        <r>
          <rPr>
            <b/>
            <sz val="9"/>
            <color indexed="81"/>
            <rFont val="Tahoma"/>
            <charset val="1"/>
          </rPr>
          <t xml:space="preserve">Source: Anthropic, PBC Form S-1 (filed 26 Oct 2026)
F-40
</t>
        </r>
      </text>
    </comment>
    <comment ref="I41" authorId="0" shapeId="0">
      <text>
        <r>
          <rPr>
            <b/>
            <sz val="9"/>
            <color indexed="81"/>
            <rFont val="Tahoma"/>
            <charset val="1"/>
          </rPr>
          <t xml:space="preserve">Source: Anthropic, PBC Form S-1 (filed 26 Oct 2026)
F-40
</t>
        </r>
      </text>
    </comment>
    <comment ref="J41" authorId="0" shapeId="0">
      <text>
        <r>
          <rPr>
            <b/>
            <sz val="9"/>
            <color indexed="81"/>
            <rFont val="Tahoma"/>
            <charset val="1"/>
          </rPr>
          <t xml:space="preserve">Source: Anthropic, PBC Form S-1 (filed 26 Oct 2026)
F-40
</t>
        </r>
      </text>
    </comment>
    <comment ref="E51" authorId="0" shapeId="0">
      <text>
        <r>
          <rPr>
            <b/>
            <sz val="9"/>
            <color indexed="81"/>
            <rFont val="Tahoma"/>
            <charset val="1"/>
          </rPr>
          <t xml:space="preserve">Source: Anthropic, PBC Form S-1 (filed 26 Oct 2026)
F-13
</t>
        </r>
      </text>
    </comment>
    <comment ref="F51" authorId="0" shapeId="0">
      <text>
        <r>
          <rPr>
            <b/>
            <sz val="9"/>
            <color indexed="81"/>
            <rFont val="Tahoma"/>
            <charset val="1"/>
          </rPr>
          <t xml:space="preserve">Source: Anthropic, PBC Form S-1 (filed 26 Oct 2026)
F-13
</t>
        </r>
      </text>
    </comment>
    <comment ref="G51" authorId="0" shapeId="0">
      <text>
        <r>
          <rPr>
            <b/>
            <sz val="9"/>
            <color indexed="81"/>
            <rFont val="Tahoma"/>
            <charset val="1"/>
          </rPr>
          <t xml:space="preserve">Source: Anthropic, PBC Form S-1 (filed 26 Oct 2026)
F-13
</t>
        </r>
      </text>
    </comment>
    <comment ref="H51" authorId="0" shapeId="0">
      <text>
        <r>
          <rPr>
            <b/>
            <sz val="9"/>
            <color indexed="81"/>
            <rFont val="Tahoma"/>
            <charset val="1"/>
          </rPr>
          <t xml:space="preserve">Source: Anthropic, PBC Form S-1 (filed 26 Oct 2026)
F-13
</t>
        </r>
      </text>
    </comment>
    <comment ref="I51" authorId="0" shapeId="0">
      <text>
        <r>
          <rPr>
            <b/>
            <sz val="9"/>
            <color indexed="81"/>
            <rFont val="Tahoma"/>
            <charset val="1"/>
          </rPr>
          <t xml:space="preserve">Source: Anthropic, PBC Form S-1 (filed 26 Oct 2026)
F-13
</t>
        </r>
      </text>
    </comment>
    <comment ref="J51" authorId="0" shapeId="0">
      <text>
        <r>
          <rPr>
            <b/>
            <sz val="9"/>
            <color indexed="81"/>
            <rFont val="Tahoma"/>
            <charset val="1"/>
          </rPr>
          <t xml:space="preserve">Source: Anthropic, PBC Form S-1 (filed 26 Oct 2026)
F-13
</t>
        </r>
      </text>
    </comment>
    <comment ref="E52" authorId="0" shapeId="0">
      <text>
        <r>
          <rPr>
            <b/>
            <sz val="9"/>
            <color indexed="81"/>
            <rFont val="Tahoma"/>
            <charset val="1"/>
          </rPr>
          <t xml:space="preserve">Source: Anthropic, PBC Form S-1 (filed 26 Oct 2026)
F-13
</t>
        </r>
      </text>
    </comment>
    <comment ref="F52" authorId="0" shapeId="0">
      <text>
        <r>
          <rPr>
            <b/>
            <sz val="9"/>
            <color indexed="81"/>
            <rFont val="Tahoma"/>
            <charset val="1"/>
          </rPr>
          <t xml:space="preserve">Source: Anthropic, PBC Form S-1 (filed 26 Oct 2026)
F-13
</t>
        </r>
      </text>
    </comment>
    <comment ref="G52" authorId="0" shapeId="0">
      <text>
        <r>
          <rPr>
            <b/>
            <sz val="9"/>
            <color indexed="81"/>
            <rFont val="Tahoma"/>
            <charset val="1"/>
          </rPr>
          <t xml:space="preserve">Source: Anthropic, PBC Form S-1 (filed 26 Oct 2026)
F-13
</t>
        </r>
      </text>
    </comment>
    <comment ref="H52" authorId="0" shapeId="0">
      <text>
        <r>
          <rPr>
            <b/>
            <sz val="9"/>
            <color indexed="81"/>
            <rFont val="Tahoma"/>
            <charset val="1"/>
          </rPr>
          <t xml:space="preserve">Source: Anthropic, PBC Form S-1 (filed 26 Oct 2026)
F-13
</t>
        </r>
      </text>
    </comment>
    <comment ref="I52" authorId="0" shapeId="0">
      <text>
        <r>
          <rPr>
            <b/>
            <sz val="9"/>
            <color indexed="81"/>
            <rFont val="Tahoma"/>
            <charset val="1"/>
          </rPr>
          <t xml:space="preserve">Source: Anthropic, PBC Form S-1 (filed 26 Oct 2026)
F-13
</t>
        </r>
      </text>
    </comment>
    <comment ref="J52" authorId="0" shapeId="0">
      <text>
        <r>
          <rPr>
            <b/>
            <sz val="9"/>
            <color indexed="81"/>
            <rFont val="Tahoma"/>
            <charset val="1"/>
          </rPr>
          <t xml:space="preserve">Source: Anthropic, PBC Form S-1 (filed 26 Oct 2026)
F-13
</t>
        </r>
      </text>
    </comment>
    <comment ref="E53" authorId="0" shapeId="0">
      <text>
        <r>
          <rPr>
            <b/>
            <sz val="9"/>
            <color indexed="81"/>
            <rFont val="Tahoma"/>
            <charset val="1"/>
          </rPr>
          <t xml:space="preserve">Source: Anthropic, PBC Form S-1 (filed 26 Oct 2026)
F-13
</t>
        </r>
      </text>
    </comment>
    <comment ref="F53" authorId="0" shapeId="0">
      <text>
        <r>
          <rPr>
            <b/>
            <sz val="9"/>
            <color indexed="81"/>
            <rFont val="Tahoma"/>
            <charset val="1"/>
          </rPr>
          <t xml:space="preserve">Source: Anthropic, PBC Form S-1 (filed 26 Oct 2026)
F-13
</t>
        </r>
      </text>
    </comment>
    <comment ref="G53" authorId="0" shapeId="0">
      <text>
        <r>
          <rPr>
            <b/>
            <sz val="9"/>
            <color indexed="81"/>
            <rFont val="Tahoma"/>
            <charset val="1"/>
          </rPr>
          <t xml:space="preserve">Source: Anthropic, PBC Form S-1 (filed 26 Oct 2026)
F-13
</t>
        </r>
      </text>
    </comment>
    <comment ref="H53" authorId="0" shapeId="0">
      <text>
        <r>
          <rPr>
            <b/>
            <sz val="9"/>
            <color indexed="81"/>
            <rFont val="Tahoma"/>
            <charset val="1"/>
          </rPr>
          <t xml:space="preserve">Source: Anthropic, PBC Form S-1 (filed 26 Oct 2026)
F-13
</t>
        </r>
      </text>
    </comment>
    <comment ref="I53" authorId="0" shapeId="0">
      <text>
        <r>
          <rPr>
            <b/>
            <sz val="9"/>
            <color indexed="81"/>
            <rFont val="Tahoma"/>
            <charset val="1"/>
          </rPr>
          <t xml:space="preserve">Source: Anthropic, PBC Form S-1 (filed 26 Oct 2026)
F-13
</t>
        </r>
      </text>
    </comment>
    <comment ref="J53" authorId="0" shapeId="0">
      <text>
        <r>
          <rPr>
            <b/>
            <sz val="9"/>
            <color indexed="81"/>
            <rFont val="Tahoma"/>
            <charset val="1"/>
          </rPr>
          <t xml:space="preserve">Source: Anthropic, PBC Form S-1 (filed 26 Oct 2026)
F-13
</t>
        </r>
      </text>
    </comment>
    <comment ref="E54" authorId="0" shapeId="0">
      <text>
        <r>
          <rPr>
            <b/>
            <sz val="9"/>
            <color indexed="81"/>
            <rFont val="Tahoma"/>
            <charset val="1"/>
          </rPr>
          <t xml:space="preserve">Source: Anthropic, PBC Form S-1 (filed 26 Oct 2026)
F-13
</t>
        </r>
      </text>
    </comment>
    <comment ref="F54" authorId="0" shapeId="0">
      <text>
        <r>
          <rPr>
            <b/>
            <sz val="9"/>
            <color indexed="81"/>
            <rFont val="Tahoma"/>
            <charset val="1"/>
          </rPr>
          <t xml:space="preserve">Source: Anthropic, PBC Form S-1 (filed 26 Oct 2026)
F-13
</t>
        </r>
      </text>
    </comment>
    <comment ref="G54" authorId="0" shapeId="0">
      <text>
        <r>
          <rPr>
            <b/>
            <sz val="9"/>
            <color indexed="81"/>
            <rFont val="Tahoma"/>
            <charset val="1"/>
          </rPr>
          <t xml:space="preserve">Source: Anthropic, PBC Form S-1 (filed 26 Oct 2026)
F-13
</t>
        </r>
      </text>
    </comment>
    <comment ref="H54" authorId="0" shapeId="0">
      <text>
        <r>
          <rPr>
            <b/>
            <sz val="9"/>
            <color indexed="81"/>
            <rFont val="Tahoma"/>
            <charset val="1"/>
          </rPr>
          <t xml:space="preserve">Source: Anthropic, PBC Form S-1 (filed 26 Oct 2026)
F-13
</t>
        </r>
      </text>
    </comment>
    <comment ref="I54" authorId="0" shapeId="0">
      <text>
        <r>
          <rPr>
            <b/>
            <sz val="9"/>
            <color indexed="81"/>
            <rFont val="Tahoma"/>
            <charset val="1"/>
          </rPr>
          <t xml:space="preserve">Source: Anthropic, PBC Form S-1 (filed 26 Oct 2026)
F-13
</t>
        </r>
      </text>
    </comment>
    <comment ref="J54" authorId="0" shapeId="0">
      <text>
        <r>
          <rPr>
            <b/>
            <sz val="9"/>
            <color indexed="81"/>
            <rFont val="Tahoma"/>
            <charset val="1"/>
          </rPr>
          <t xml:space="preserve">Source: Anthropic, PBC Form S-1 (filed 26 Oct 2026)
F-13
</t>
        </r>
      </text>
    </comment>
    <comment ref="E55" authorId="0" shapeId="0">
      <text>
        <r>
          <rPr>
            <b/>
            <sz val="9"/>
            <color indexed="81"/>
            <rFont val="Tahoma"/>
            <charset val="1"/>
          </rPr>
          <t xml:space="preserve">Source: Anthropic, PBC Form S-1 (filed 26 Oct 2026)
F-13
</t>
        </r>
      </text>
    </comment>
    <comment ref="F55" authorId="0" shapeId="0">
      <text>
        <r>
          <rPr>
            <b/>
            <sz val="9"/>
            <color indexed="81"/>
            <rFont val="Tahoma"/>
            <charset val="1"/>
          </rPr>
          <t xml:space="preserve">Source: Anthropic, PBC Form S-1 (filed 26 Oct 2026)
F-13
</t>
        </r>
      </text>
    </comment>
    <comment ref="G55" authorId="0" shapeId="0">
      <text>
        <r>
          <rPr>
            <b/>
            <sz val="9"/>
            <color indexed="81"/>
            <rFont val="Tahoma"/>
            <charset val="1"/>
          </rPr>
          <t xml:space="preserve">Source: Anthropic, PBC Form S-1 (filed 26 Oct 2026)
F-13
</t>
        </r>
      </text>
    </comment>
    <comment ref="H55" authorId="0" shapeId="0">
      <text>
        <r>
          <rPr>
            <b/>
            <sz val="9"/>
            <color indexed="81"/>
            <rFont val="Tahoma"/>
            <charset val="1"/>
          </rPr>
          <t xml:space="preserve">Source: Anthropic, PBC Form S-1 (filed 26 Oct 2026)
F-13
</t>
        </r>
      </text>
    </comment>
    <comment ref="I55" authorId="0" shapeId="0">
      <text>
        <r>
          <rPr>
            <b/>
            <sz val="9"/>
            <color indexed="81"/>
            <rFont val="Tahoma"/>
            <charset val="1"/>
          </rPr>
          <t xml:space="preserve">Source: Anthropic, PBC Form S-1 (filed 26 Oct 2026)
F-13
</t>
        </r>
      </text>
    </comment>
    <comment ref="J55" authorId="0" shapeId="0">
      <text>
        <r>
          <rPr>
            <b/>
            <sz val="9"/>
            <color indexed="81"/>
            <rFont val="Tahoma"/>
            <charset val="1"/>
          </rPr>
          <t xml:space="preserve">Source: Anthropic, PBC Form S-1 (filed 26 Oct 2026)
F-13
</t>
        </r>
      </text>
    </comment>
    <comment ref="E60" authorId="0" shapeId="0">
      <text>
        <r>
          <rPr>
            <b/>
            <sz val="9"/>
            <color indexed="81"/>
            <rFont val="Tahoma"/>
            <charset val="1"/>
          </rPr>
          <t xml:space="preserve">Source: Anthropic, PBC Form S-1 (filed 26 Oct 2026)
F-6
</t>
        </r>
      </text>
    </comment>
    <comment ref="F60" authorId="0" shapeId="0">
      <text>
        <r>
          <rPr>
            <b/>
            <sz val="9"/>
            <color indexed="81"/>
            <rFont val="Tahoma"/>
            <charset val="1"/>
          </rPr>
          <t xml:space="preserve">Source: Anthropic, PBC Form S-1 (filed 26 Oct 2026)
F-6
</t>
        </r>
      </text>
    </comment>
    <comment ref="G60" authorId="0" shapeId="0">
      <text>
        <r>
          <rPr>
            <b/>
            <sz val="9"/>
            <color indexed="81"/>
            <rFont val="Tahoma"/>
            <charset val="1"/>
          </rPr>
          <t xml:space="preserve">Source: Anthropic, PBC Form S-1 (filed 26 Oct 2026)
F-6
</t>
        </r>
      </text>
    </comment>
    <comment ref="H60" authorId="0" shapeId="0">
      <text>
        <r>
          <rPr>
            <b/>
            <sz val="9"/>
            <color indexed="81"/>
            <rFont val="Tahoma"/>
            <charset val="1"/>
          </rPr>
          <t xml:space="preserve">Source: Anthropic, PBC Form S-1 (filed 26 Oct 2026)
F-6
</t>
        </r>
      </text>
    </comment>
    <comment ref="E61" authorId="0" shapeId="0">
      <text>
        <r>
          <rPr>
            <b/>
            <sz val="9"/>
            <color indexed="81"/>
            <rFont val="Tahoma"/>
            <charset val="1"/>
          </rPr>
          <t xml:space="preserve">Source: Anthropic, PBC Form S-1 (filed 26 Oct 2026)
F-6
</t>
        </r>
      </text>
    </comment>
    <comment ref="F61" authorId="0" shapeId="0">
      <text>
        <r>
          <rPr>
            <b/>
            <sz val="9"/>
            <color indexed="81"/>
            <rFont val="Tahoma"/>
            <charset val="1"/>
          </rPr>
          <t xml:space="preserve">Source: Anthropic, PBC Form S-1 (filed 26 Oct 2026)
F-6
</t>
        </r>
      </text>
    </comment>
    <comment ref="G61" authorId="0" shapeId="0">
      <text>
        <r>
          <rPr>
            <b/>
            <sz val="9"/>
            <color indexed="81"/>
            <rFont val="Tahoma"/>
            <charset val="1"/>
          </rPr>
          <t xml:space="preserve">Source: Anthropic, PBC Form S-1 (filed 26 Oct 2026)
F-6
</t>
        </r>
      </text>
    </comment>
    <comment ref="H61" authorId="0" shapeId="0">
      <text>
        <r>
          <rPr>
            <b/>
            <sz val="9"/>
            <color indexed="81"/>
            <rFont val="Tahoma"/>
            <charset val="1"/>
          </rPr>
          <t xml:space="preserve">Source: Anthropic, PBC Form S-1 (filed 26 Oct 2026)
F-6
</t>
        </r>
      </text>
    </comment>
    <comment ref="E62" authorId="0" shapeId="0">
      <text>
        <r>
          <rPr>
            <b/>
            <sz val="9"/>
            <color indexed="81"/>
            <rFont val="Tahoma"/>
            <charset val="1"/>
          </rPr>
          <t xml:space="preserve">Source: Anthropic, PBC Form S-1 (filed 26 Oct 2026)
F-6
</t>
        </r>
      </text>
    </comment>
    <comment ref="F62" authorId="0" shapeId="0">
      <text>
        <r>
          <rPr>
            <b/>
            <sz val="9"/>
            <color indexed="81"/>
            <rFont val="Tahoma"/>
            <charset val="1"/>
          </rPr>
          <t xml:space="preserve">Source: Anthropic, PBC Form S-1 (filed 26 Oct 2026)
F-6
</t>
        </r>
      </text>
    </comment>
    <comment ref="G62" authorId="0" shapeId="0">
      <text>
        <r>
          <rPr>
            <b/>
            <sz val="9"/>
            <color indexed="81"/>
            <rFont val="Tahoma"/>
            <charset val="1"/>
          </rPr>
          <t xml:space="preserve">Source: Anthropic, PBC Form S-1 (filed 26 Oct 2026)
F-6
</t>
        </r>
      </text>
    </comment>
    <comment ref="H62" authorId="0" shapeId="0">
      <text>
        <r>
          <rPr>
            <b/>
            <sz val="9"/>
            <color indexed="81"/>
            <rFont val="Tahoma"/>
            <charset val="1"/>
          </rPr>
          <t xml:space="preserve">Source: Anthropic, PBC Form S-1 (filed 26 Oct 2026)
F-6
</t>
        </r>
      </text>
    </comment>
    <comment ref="E63" authorId="0" shapeId="0">
      <text>
        <r>
          <rPr>
            <b/>
            <sz val="9"/>
            <color indexed="81"/>
            <rFont val="Tahoma"/>
            <charset val="1"/>
          </rPr>
          <t xml:space="preserve">Source: Anthropic, PBC Form S-1 (filed 26 Oct 2026)
F-6
</t>
        </r>
      </text>
    </comment>
    <comment ref="F63" authorId="0" shapeId="0">
      <text>
        <r>
          <rPr>
            <b/>
            <sz val="9"/>
            <color indexed="81"/>
            <rFont val="Tahoma"/>
            <charset val="1"/>
          </rPr>
          <t xml:space="preserve">Source: Anthropic, PBC Form S-1 (filed 26 Oct 2026)
F-6
</t>
        </r>
      </text>
    </comment>
    <comment ref="G63" authorId="0" shapeId="0">
      <text>
        <r>
          <rPr>
            <b/>
            <sz val="9"/>
            <color indexed="81"/>
            <rFont val="Tahoma"/>
            <charset val="1"/>
          </rPr>
          <t xml:space="preserve">Source: Anthropic, PBC Form S-1 (filed 26 Oct 2026)
F-6
</t>
        </r>
      </text>
    </comment>
    <comment ref="H63" authorId="0" shapeId="0">
      <text>
        <r>
          <rPr>
            <b/>
            <sz val="9"/>
            <color indexed="81"/>
            <rFont val="Tahoma"/>
            <charset val="1"/>
          </rPr>
          <t xml:space="preserve">Source: Anthropic, PBC Form S-1 (filed 26 Oct 2026)
F-6
</t>
        </r>
      </text>
    </comment>
    <comment ref="E64" authorId="0" shapeId="0">
      <text>
        <r>
          <rPr>
            <b/>
            <sz val="9"/>
            <color indexed="81"/>
            <rFont val="Tahoma"/>
            <charset val="1"/>
          </rPr>
          <t xml:space="preserve">Source: Anthropic, PBC Form S-1 (filed 26 Oct 2026)
F-6
</t>
        </r>
      </text>
    </comment>
    <comment ref="F64" authorId="0" shapeId="0">
      <text>
        <r>
          <rPr>
            <b/>
            <sz val="9"/>
            <color indexed="81"/>
            <rFont val="Tahoma"/>
            <charset val="1"/>
          </rPr>
          <t xml:space="preserve">Source: Anthropic, PBC Form S-1 (filed 26 Oct 2026)
F-6
</t>
        </r>
      </text>
    </comment>
    <comment ref="G64" authorId="0" shapeId="0">
      <text>
        <r>
          <rPr>
            <b/>
            <sz val="9"/>
            <color indexed="81"/>
            <rFont val="Tahoma"/>
            <charset val="1"/>
          </rPr>
          <t xml:space="preserve">Source: Anthropic, PBC Form S-1 (filed 26 Oct 2026)
F-6
</t>
        </r>
      </text>
    </comment>
    <comment ref="H64" authorId="0" shapeId="0">
      <text>
        <r>
          <rPr>
            <b/>
            <sz val="9"/>
            <color indexed="81"/>
            <rFont val="Tahoma"/>
            <charset val="1"/>
          </rPr>
          <t xml:space="preserve">Source: Anthropic, PBC Form S-1 (filed 26 Oct 2026)
F-6
</t>
        </r>
      </text>
    </comment>
    <comment ref="E65" authorId="0" shapeId="0">
      <text>
        <r>
          <rPr>
            <b/>
            <sz val="9"/>
            <color indexed="81"/>
            <rFont val="Tahoma"/>
            <charset val="1"/>
          </rPr>
          <t xml:space="preserve">Source: Anthropic, PBC Form S-1 (filed 26 Oct 2026)
F-6
</t>
        </r>
      </text>
    </comment>
    <comment ref="F65" authorId="0" shapeId="0">
      <text>
        <r>
          <rPr>
            <b/>
            <sz val="9"/>
            <color indexed="81"/>
            <rFont val="Tahoma"/>
            <charset val="1"/>
          </rPr>
          <t xml:space="preserve">Source: Anthropic, PBC Form S-1 (filed 26 Oct 2026)
F-6
</t>
        </r>
      </text>
    </comment>
    <comment ref="G65" authorId="0" shapeId="0">
      <text>
        <r>
          <rPr>
            <b/>
            <sz val="9"/>
            <color indexed="81"/>
            <rFont val="Tahoma"/>
            <charset val="1"/>
          </rPr>
          <t xml:space="preserve">Source: Anthropic, PBC Form S-1 (filed 26 Oct 2026)
F-6
</t>
        </r>
      </text>
    </comment>
    <comment ref="H65" authorId="0" shapeId="0">
      <text>
        <r>
          <rPr>
            <b/>
            <sz val="9"/>
            <color indexed="81"/>
            <rFont val="Tahoma"/>
            <charset val="1"/>
          </rPr>
          <t xml:space="preserve">Source: Anthropic, PBC Form S-1 (filed 26 Oct 2026)
F-6
</t>
        </r>
      </text>
    </comment>
    <comment ref="E66" authorId="0" shapeId="0">
      <text>
        <r>
          <rPr>
            <b/>
            <sz val="9"/>
            <color indexed="81"/>
            <rFont val="Tahoma"/>
            <charset val="1"/>
          </rPr>
          <t xml:space="preserve">Source: Anthropic, PBC Form S-1 (filed 26 Oct 2026)
F-6
</t>
        </r>
      </text>
    </comment>
    <comment ref="F66" authorId="0" shapeId="0">
      <text>
        <r>
          <rPr>
            <b/>
            <sz val="9"/>
            <color indexed="81"/>
            <rFont val="Tahoma"/>
            <charset val="1"/>
          </rPr>
          <t xml:space="preserve">Source: Anthropic, PBC Form S-1 (filed 26 Oct 2026)
F-6
</t>
        </r>
      </text>
    </comment>
    <comment ref="G66" authorId="0" shapeId="0">
      <text>
        <r>
          <rPr>
            <b/>
            <sz val="9"/>
            <color indexed="81"/>
            <rFont val="Tahoma"/>
            <charset val="1"/>
          </rPr>
          <t xml:space="preserve">Source: Anthropic, PBC Form S-1 (filed 26 Oct 2026)
F-6
</t>
        </r>
      </text>
    </comment>
    <comment ref="H66" authorId="0" shapeId="0">
      <text>
        <r>
          <rPr>
            <b/>
            <sz val="9"/>
            <color indexed="81"/>
            <rFont val="Tahoma"/>
            <charset val="1"/>
          </rPr>
          <t xml:space="preserve">Source: Anthropic, PBC Form S-1 (filed 26 Oct 2026)
F-6
</t>
        </r>
      </text>
    </comment>
    <comment ref="E67" authorId="0" shapeId="0">
      <text>
        <r>
          <rPr>
            <b/>
            <sz val="9"/>
            <color indexed="81"/>
            <rFont val="Tahoma"/>
            <charset val="1"/>
          </rPr>
          <t xml:space="preserve">Source: Anthropic, PBC Form S-1 (filed 26 Oct 2026)
F-6
</t>
        </r>
      </text>
    </comment>
    <comment ref="F67" authorId="0" shapeId="0">
      <text>
        <r>
          <rPr>
            <b/>
            <sz val="9"/>
            <color indexed="81"/>
            <rFont val="Tahoma"/>
            <charset val="1"/>
          </rPr>
          <t xml:space="preserve">Source: Anthropic, PBC Form S-1 (filed 26 Oct 2026)
F-6
</t>
        </r>
      </text>
    </comment>
    <comment ref="G67" authorId="0" shapeId="0">
      <text>
        <r>
          <rPr>
            <b/>
            <sz val="9"/>
            <color indexed="81"/>
            <rFont val="Tahoma"/>
            <charset val="1"/>
          </rPr>
          <t xml:space="preserve">Source: Anthropic, PBC Form S-1 (filed 26 Oct 2026)
F-6
</t>
        </r>
      </text>
    </comment>
    <comment ref="H67" authorId="0" shapeId="0">
      <text>
        <r>
          <rPr>
            <b/>
            <sz val="9"/>
            <color indexed="81"/>
            <rFont val="Tahoma"/>
            <charset val="1"/>
          </rPr>
          <t xml:space="preserve">Source: Anthropic, PBC Form S-1 (filed 26 Oct 2026)
F-6
</t>
        </r>
      </text>
    </comment>
    <comment ref="G68" authorId="0" shapeId="0">
      <text>
        <r>
          <rPr>
            <b/>
            <sz val="9"/>
            <color indexed="81"/>
            <rFont val="Tahoma"/>
            <charset val="1"/>
          </rPr>
          <t xml:space="preserve">Source: Anthropic, PBC Form S-1 (filed 26 Oct 2026)
p.165 (2,186 + 4,017)
</t>
        </r>
      </text>
    </comment>
    <comment ref="H68" authorId="0" shapeId="0">
      <text>
        <r>
          <rPr>
            <b/>
            <sz val="9"/>
            <color indexed="81"/>
            <rFont val="Tahoma"/>
            <charset val="1"/>
          </rPr>
          <t xml:space="preserve">Source: Anthropic, PBC Form S-1 (filed 26 Oct 2026)
p.165 (2,186 + 4,017)
</t>
        </r>
      </text>
    </comment>
    <comment ref="G69" authorId="0" shapeId="0">
      <text>
        <r>
          <rPr>
            <b/>
            <sz val="9"/>
            <color indexed="81"/>
            <rFont val="Tahoma"/>
            <charset val="1"/>
          </rPr>
          <t xml:space="preserve">Source: Anthropic, PBC Form S-1 (filed 26 Oct 2026)
F-36
</t>
        </r>
      </text>
    </comment>
    <comment ref="H69" authorId="0" shapeId="0">
      <text>
        <r>
          <rPr>
            <b/>
            <sz val="9"/>
            <color indexed="81"/>
            <rFont val="Tahoma"/>
            <charset val="1"/>
          </rPr>
          <t xml:space="preserve">Source: Anthropic, PBC Form S-1 (filed 26 Oct 2026)
F-36
</t>
        </r>
      </text>
    </comment>
    <comment ref="G70" authorId="0" shapeId="0">
      <text>
        <r>
          <rPr>
            <b/>
            <sz val="9"/>
            <color indexed="81"/>
            <rFont val="Tahoma"/>
            <charset val="1"/>
          </rPr>
          <t xml:space="preserve">Source: Anthropic, PBC Form S-1 (filed 26 Oct 2026)
F-27
</t>
        </r>
      </text>
    </comment>
    <comment ref="H70" authorId="0" shapeId="0">
      <text>
        <r>
          <rPr>
            <b/>
            <sz val="9"/>
            <color indexed="81"/>
            <rFont val="Tahoma"/>
            <charset val="1"/>
          </rPr>
          <t xml:space="preserve">Source: Anthropic, PBC Form S-1 (filed 26 Oct 2026)
F-27
</t>
        </r>
      </text>
    </comment>
  </commentList>
</comments>
</file>

<file path=xl/sharedStrings.xml><?xml version="1.0" encoding="utf-8"?>
<sst xmlns="http://schemas.openxmlformats.org/spreadsheetml/2006/main" count="4050" uniqueCount="2291">
  <si>
    <t>Summary</t>
  </si>
  <si>
    <t>Headline</t>
  </si>
  <si>
    <t>Base</t>
  </si>
  <si>
    <t>Live</t>
  </si>
  <si>
    <t>Equity value ($B)</t>
  </si>
  <si>
    <t>Value per diluted share ($)</t>
  </si>
  <si>
    <t>Terminal value share of EV</t>
  </si>
  <si>
    <t>Equity value vs the $1.5T talk (aggregate, same basis)</t>
  </si>
  <si>
    <t>X</t>
  </si>
  <si>
    <t>Revenue FY2031</t>
  </si>
  <si>
    <t>Revenue CAGR FY2026-31</t>
  </si>
  <si>
    <t>Revenue FY2036</t>
  </si>
  <si>
    <t>Terminal EBIT margin (after SBC)</t>
  </si>
  <si>
    <t>WACC</t>
  </si>
  <si>
    <t>Terminal growth</t>
  </si>
  <si>
    <t>Distress probability</t>
  </si>
  <si>
    <t>Years FY27-36 the compute floor binds</t>
  </si>
  <si>
    <t>Commitments: treatment and cost (live, $B)</t>
  </si>
  <si>
    <t>A. Operating cost in FCF (our base)</t>
  </si>
  <si>
    <t>B. Broadcom leases capitalised (lease-debt view)</t>
  </si>
  <si>
    <t>C. Illustrative double count (margin AND PV as debt)</t>
  </si>
  <si>
    <t>D. No commitment floor</t>
  </si>
  <si>
    <t>Value the commitment floor costs (D - A)</t>
  </si>
  <si>
    <t>$1.5T needs FY2031 revenue ($B)</t>
  </si>
  <si>
    <t>Checks</t>
  </si>
  <si>
    <t>Inputs</t>
  </si>
  <si>
    <t>Model</t>
  </si>
  <si>
    <t>DCF</t>
  </si>
  <si>
    <t>Dilution Calcs</t>
  </si>
  <si>
    <t>Tax Schedule</t>
  </si>
  <si>
    <t>Compute Commitments</t>
  </si>
  <si>
    <t>Reverse Valuation</t>
  </si>
  <si>
    <t>Sensitivities</t>
  </si>
  <si>
    <t>Historicals</t>
  </si>
  <si>
    <t>Derived</t>
  </si>
  <si>
    <t>Our est.</t>
  </si>
  <si>
    <t>Our choice</t>
  </si>
  <si>
    <t>Data tables on the Sensitivities sheet substitute 1/2/3 here to run each scenario through the one live model.</t>
  </si>
  <si>
    <t>Item</t>
  </si>
  <si>
    <t>Unit</t>
  </si>
  <si>
    <t>Source</t>
  </si>
  <si>
    <t>Note / working</t>
  </si>
  <si>
    <t>Q4 2024 revenue</t>
  </si>
  <si>
    <t>USDm</t>
  </si>
  <si>
    <t>S-1 p.64</t>
  </si>
  <si>
    <t>Quarterly revenue, three months to 31 Dec 2024.</t>
  </si>
  <si>
    <t>Q3 2026 revenue as a multiple of Q4 2024</t>
  </si>
  <si>
    <t>x</t>
  </si>
  <si>
    <t>S-1 p.184</t>
  </si>
  <si>
    <t>'was 86 times our revenue for the three months ended December 31, 2024'. Q3 2026 itself is blank in the S-1.</t>
  </si>
  <si>
    <t>Q3 2026 run-rate (Q3 x 4)</t>
  </si>
  <si>
    <t>USDb</t>
  </si>
  <si>
    <t>Not the S-1's run-rate definition (trailing 28 days x 13 + subscriptions x 12, p.5), which is blank (p.195).</t>
  </si>
  <si>
    <t>Q4 2026 revenue growth QoQ (before enforcement drag)</t>
  </si>
  <si>
    <t>%</t>
  </si>
  <si>
    <t>Q4 2026 drag from policy enforcement</t>
  </si>
  <si>
    <t>Our est. on S-1 p.146</t>
  </si>
  <si>
    <t>Subscription share of revenue (projection)</t>
  </si>
  <si>
    <t>Years to glide from start to terminal levels</t>
  </si>
  <si>
    <t>#</t>
  </si>
  <si>
    <t>% rev</t>
  </si>
  <si>
    <t>Personnel ex SBC, terminal</t>
  </si>
  <si>
    <t>SBC (ongoing grants), terminal</t>
  </si>
  <si>
    <t>Other operating &amp; administrative excl. D&amp;A, terminal</t>
  </si>
  <si>
    <t>D&amp;A, terminal</t>
  </si>
  <si>
    <t>Rises with 'Anthropic Direct' owned infrastructure (p.138, p.162).</t>
  </si>
  <si>
    <t>Capex, terminal</t>
  </si>
  <si>
    <t>Broadcom TPU leases and hosting deals are in compute cost, not capex (our treatment), so capex stays light.</t>
  </si>
  <si>
    <t>Net working capital investment</t>
  </si>
  <si>
    <t>% of revenue change</t>
  </si>
  <si>
    <t>Our est. on S-1 F-6</t>
  </si>
  <si>
    <t>Receivables $5.8B vs Q2 revenue $11.6B (58% marketplace, F-17); offset by deferred revenue and payables. H1 2026 working capital was a $1.2B inflow.</t>
  </si>
  <si>
    <t>Committed, price unset (extra TPU, AMD) taken up</t>
  </si>
  <si>
    <t>S-1 pp.171-172</t>
  </si>
  <si>
    <t>SpaceXAI after the cancellable date treated as a floor</t>
  </si>
  <si>
    <t>S-1 p.172</t>
  </si>
  <si>
    <t>Risk-free rate (10-year US Treasury, 30 Oct 2026)</t>
  </si>
  <si>
    <t>External: US Treasury 10-yr CMT, 30 Oct 2026</t>
  </si>
  <si>
    <t>Equity risk premium (implied, US)</t>
  </si>
  <si>
    <t>Pre-tax cost of debt (for commitment-as-debt treatment)</t>
  </si>
  <si>
    <t>S-1 F-35</t>
  </si>
  <si>
    <t>Weighted-average discount rate on Anthropic's existing finance leases at 30 Jun 2026, 7.1% (F-35). Applied to the not-yet-commenced Broadcom leases as an estimate. Reported BB+ (KBRA via FT) and 5.75-10% SPV coupons are consistent (External).</t>
  </si>
  <si>
    <t>Debt / (debt + equity) at target</t>
  </si>
  <si>
    <t>Interest-bearing debt drawn is ~$0 (revolver undrawn; Amazon notes convert). Commitments are handled in operating cost, not here.</t>
  </si>
  <si>
    <t>Long-run cash tax rate</t>
  </si>
  <si>
    <t>WACC adjustment vs CAPM base</t>
  </si>
  <si>
    <t>Terminal growth (after FY2036)</t>
  </si>
  <si>
    <t>Probability of distress or failure</t>
  </si>
  <si>
    <t>Value recovered in distress</t>
  </si>
  <si>
    <t>US federal NOL carryforwards, 31 Dec 2025</t>
  </si>
  <si>
    <t>S-1 F-56</t>
  </si>
  <si>
    <t>Do not expire. Section 382: ownership changes in Oct 2021 and Sep 2023 with no limitation identified (31 Dec 2023 study); 2024-25 changes and the IPO are untested (F-57, p.106). Not limited here: the pool is small.</t>
  </si>
  <si>
    <t>State NOL carryforwards, 31 Dec 2025 (memo)</t>
  </si>
  <si>
    <t>Begin to expire 2033; California has suspended NOL use at times (p.106). Not modelled separately: one 25% blended rate is applied to the federal pool (conservative; state value ~$0.2B).</t>
  </si>
  <si>
    <t>US federal R&amp;D credit carryforwards</t>
  </si>
  <si>
    <t>Begin to expire 2042.</t>
  </si>
  <si>
    <t>California R&amp;D credit carryforwards</t>
  </si>
  <si>
    <t>Carried forward indefinitely.</t>
  </si>
  <si>
    <t>R&amp;D credit pool</t>
  </si>
  <si>
    <t>Offsets cash tax dollar for dollar, limited below.</t>
  </si>
  <si>
    <t>Credits usable against a year's tax</t>
  </si>
  <si>
    <t>Our est. (US general business credit limit)</t>
  </si>
  <si>
    <t>Roughly 75% of net tax above $25k.</t>
  </si>
  <si>
    <t>S-1 p.25</t>
  </si>
  <si>
    <t>Book SBC is not deductible until awards settle, so the adjusted figure is the starting proxy for taxable operating income.</t>
  </si>
  <si>
    <t>S-1 F-52</t>
  </si>
  <si>
    <t>Deductible at exercise for non-qualified options.</t>
  </si>
  <si>
    <t>Share of award value that is tax-deductible</t>
  </si>
  <si>
    <t>Adjusted operating income + interest - deductible option exercises.</t>
  </si>
  <si>
    <t>NOL usable against taxable income in a year</t>
  </si>
  <si>
    <t>US tax law (External)</t>
  </si>
  <si>
    <t>Post-2017 NOLs offset at most 80% of taxable income.</t>
  </si>
  <si>
    <t>31 Dec 2025 NOL + H1 2026 tax loss (or less H1 usage). Award deductions after 30 Jun are added in the period they arise (Tax Schedule).</t>
  </si>
  <si>
    <t>flag</t>
  </si>
  <si>
    <t>USD</t>
  </si>
  <si>
    <t>Share price growth after the IPO (deduction timing)</t>
  </si>
  <si>
    <t>Set to the cost of equity (DCF).</t>
  </si>
  <si>
    <t>Years over which options are exercised (from 2027)</t>
  </si>
  <si>
    <t>1.80B options, average strike $2.89, ten-year terms (F-52). Spread evenly over 2027-31.</t>
  </si>
  <si>
    <t>Stress: share of June RSU units settling at the IPO</t>
  </si>
  <si>
    <t>Approximation check. The base schedule uses the expense pattern (2.9/26.6 = 10.9% at the IPO, then the p.65 expense split) as a proxy for units settling; expense uses accelerated attribution and differing grant prices (p.174, F-53), so units may settle earlier. The stress settles 35% at the IPO and the rest evenly over FY27-29.</t>
  </si>
  <si>
    <t>S-1 F-6</t>
  </si>
  <si>
    <t>Include restricted cash (1 = yes)</t>
  </si>
  <si>
    <t>Included: the escrow secures rent we already deduct in operating cost. Excluded from the S-1's own 'liquidity'.</t>
  </si>
  <si>
    <t>Interest-bearing debt drawn</t>
  </si>
  <si>
    <t>S-1 pp.162-164</t>
  </si>
  <si>
    <t>Revolver $15.0B undrawn. Amazon notes are counted as shares (see Shares). Finance-lease liability $0.443B is inside the Broadcom rent schedule, so not deducted again.</t>
  </si>
  <si>
    <t>Primary IPO proceeds included</t>
  </si>
  <si>
    <t>0 = pre-money value. If you enter proceeds, shares are added at the assumed IPO price (Dilution Calcs), so value per share is broadly unchanged.</t>
  </si>
  <si>
    <t>Governance discount on equity</t>
  </si>
  <si>
    <t>Our choice (open)</t>
  </si>
  <si>
    <t>Interest yield on unrestricted cash (liquidity path)</t>
  </si>
  <si>
    <t>Public Benefit top-ups to 2036 (+2% per +50% price)</t>
  </si>
  <si>
    <t>Our est. on S-1 pp.13, 144</t>
  </si>
  <si>
    <t>Share of the donation-matching reserve expected to be issued</t>
  </si>
  <si>
    <t>Our est. on S-1 F-51, p.145</t>
  </si>
  <si>
    <t>Revolver minimum liquidity covenant</t>
  </si>
  <si>
    <t>S-1 p.164 / F-65</t>
  </si>
  <si>
    <t>From Q4 2026.</t>
  </si>
  <si>
    <t>Performance-RSU catch-up at IPO</t>
  </si>
  <si>
    <t>Remaining unrecognised performance-RSU expense</t>
  </si>
  <si>
    <t>Share of remainder in FY2027</t>
  </si>
  <si>
    <t>Share of remainder in FY2028</t>
  </si>
  <si>
    <t>Share of remainder in FY2029</t>
  </si>
  <si>
    <t>Balancing share.</t>
  </si>
  <si>
    <t>S-1 F-66 (Note 17)</t>
  </si>
  <si>
    <t>Terminal EBIT margin step (grid columns)</t>
  </si>
  <si>
    <t>5 columns: live -2 to +2 steps.</t>
  </si>
  <si>
    <t>WACC step</t>
  </si>
  <si>
    <t>Terminal growth step</t>
  </si>
  <si>
    <t>Reverse-valuation target 1 (equity value)</t>
  </si>
  <si>
    <t>External (press talk)</t>
  </si>
  <si>
    <t>Reuters 15 Oct: talk fell from ~$2T to ~$1.5T. Price is blank in the S-1.</t>
  </si>
  <si>
    <t>Reverse-valuation target 2 (equity value)</t>
  </si>
  <si>
    <t>Live scenario:</t>
  </si>
  <si>
    <t>Period (US$B unless stated)</t>
  </si>
  <si>
    <t>Lever</t>
  </si>
  <si>
    <t>2027F</t>
  </si>
  <si>
    <t>2028F</t>
  </si>
  <si>
    <t>2029F</t>
  </si>
  <si>
    <t>2030F</t>
  </si>
  <si>
    <t>2031F</t>
  </si>
  <si>
    <t>2032F</t>
  </si>
  <si>
    <t>2033F</t>
  </si>
  <si>
    <t>2034F</t>
  </si>
  <si>
    <t>2035F</t>
  </si>
  <si>
    <t>2036F</t>
  </si>
  <si>
    <t>Case parameters (live inputs, unless a data table on Sensitivities overrides them)</t>
  </si>
  <si>
    <t>Q4 2026 QoQ growth</t>
  </si>
  <si>
    <t>Q4 enforcement drag</t>
  </si>
  <si>
    <t>SBC, terminal</t>
  </si>
  <si>
    <t>Other opex, terminal</t>
  </si>
  <si>
    <t>Public Benefit top-ups (count)</t>
  </si>
  <si>
    <t>Uptake: pay on delivery</t>
  </si>
  <si>
    <t>Uptake: price unset</t>
  </si>
  <si>
    <t>Uptake: SpaceXAI remainder</t>
  </si>
  <si>
    <t>Uptake: residual</t>
  </si>
  <si>
    <t>Commitment floor on (1/0)</t>
  </si>
  <si>
    <t>Award tax deductions on (1/0)</t>
  </si>
  <si>
    <t>RSU settlement stress schedule (1/0)</t>
  </si>
  <si>
    <t>Revenue</t>
  </si>
  <si>
    <t>Revenue growth</t>
  </si>
  <si>
    <t>Prior comparable revenue</t>
  </si>
  <si>
    <t>Compute: demand-driven vs contracted floor (compute can never fall below the floor)</t>
  </si>
  <si>
    <t>Committed compute floor</t>
  </si>
  <si>
    <t>Excess committed compute (floor binds)</t>
  </si>
  <si>
    <t>Personnel ex SBC %</t>
  </si>
  <si>
    <t>Personnel ex SBC</t>
  </si>
  <si>
    <t>SBC (ongoing grants) %</t>
  </si>
  <si>
    <t>SBC (ongoing grants)</t>
  </si>
  <si>
    <t>Other op &amp; admin %</t>
  </si>
  <si>
    <t>D&amp;A %</t>
  </si>
  <si>
    <t>D&amp;A</t>
  </si>
  <si>
    <t>EBIT and cash tax (federal NOLs and R&amp;D credits from S-1 F-56; award deductions dated on the Tax Schedule)</t>
  </si>
  <si>
    <t>EBIT (after SBC; commitments as operating cost)</t>
  </si>
  <si>
    <t>EBIT margin</t>
  </si>
  <si>
    <t>Equity-award tax deductions (Tax Schedule)</t>
  </si>
  <si>
    <t>Taxable income before tax losses</t>
  </si>
  <si>
    <t>Tax losses, opening</t>
  </si>
  <si>
    <t>Tax losses used</t>
  </si>
  <si>
    <t>Tax losses, closing</t>
  </si>
  <si>
    <t>R&amp;D tax credits, opening</t>
  </si>
  <si>
    <t>R&amp;D tax credits used</t>
  </si>
  <si>
    <t>Cash taxes (after credits)</t>
  </si>
  <si>
    <t>NOPAT</t>
  </si>
  <si>
    <t>Free cash flow and discounting</t>
  </si>
  <si>
    <t>Capex %</t>
  </si>
  <si>
    <t>Capex</t>
  </si>
  <si>
    <t>Increase in net working capital</t>
  </si>
  <si>
    <t>Unrestricted liquidity before new financing (memo)</t>
  </si>
  <si>
    <t>Discount factor</t>
  </si>
  <si>
    <t>PV of UFCF</t>
  </si>
  <si>
    <t>Valuation outputs (valuation date 31 Dec 2026, pre-money)</t>
  </si>
  <si>
    <t>Sum of PV of UFCF, FY27-FY36</t>
  </si>
  <si>
    <t>PV of terminal value</t>
  </si>
  <si>
    <t>Enterprise value (operations)</t>
  </si>
  <si>
    <t>EV after distress haircut</t>
  </si>
  <si>
    <t>Funding need: new money to keep $5B unrestricted liquidity</t>
  </si>
  <si>
    <t>...drawn on the Broadcom notes (up to the $42B facility)</t>
  </si>
  <si>
    <t>...residual beyond the facility (unfinanced in the S-1)</t>
  </si>
  <si>
    <t>Financing status of this case</t>
  </si>
  <si>
    <t>Equity value (after governance discount)</t>
  </si>
  <si>
    <t>Terminal EBIT margin (FY2036)</t>
  </si>
  <si>
    <t>Years the floor binds (FY27-FY36)</t>
  </si>
  <si>
    <t>Lowest liquidity before new financing</t>
  </si>
  <si>
    <t>5-yr CAGR from Q3 run-rate to FY2031</t>
  </si>
  <si>
    <t>Margins, revenue-needed test and GAAP memo</t>
  </si>
  <si>
    <t>Consumption-based revenue</t>
  </si>
  <si>
    <t>Subscription-based revenue</t>
  </si>
  <si>
    <t>Cost of revenue (serving compute, memo)</t>
  </si>
  <si>
    <t>Serving gross margin (S-1 Note 8 basis)</t>
  </si>
  <si>
    <t>Loaded margin (after serving compute and SM&amp;P)</t>
  </si>
  <si>
    <t>All-compute margin (1 - compute / revenue)</t>
  </si>
  <si>
    <t>EBITDA</t>
  </si>
  <si>
    <t>EBITDA margin</t>
  </si>
  <si>
    <t>Adjusted EBIT (adds back SBC, company style)</t>
  </si>
  <si>
    <t>Adjusted EBIT margin</t>
  </si>
  <si>
    <t>Floor as % of revenue</t>
  </si>
  <si>
    <t>Does the floor bind?</t>
  </si>
  <si>
    <t>Memo: IPO RSU expense (existing awards, in share count)</t>
  </si>
  <si>
    <t>Memo: donation-matching charge (settled in shares)</t>
  </si>
  <si>
    <t>Memo: GAAP-style operating income</t>
  </si>
  <si>
    <t>Memo: GAAP-style operating margin</t>
  </si>
  <si>
    <t>Liquidity headroom over $5B covenant (memo)</t>
  </si>
  <si>
    <t>Revenue FY2026E</t>
  </si>
  <si>
    <t>Q4 2026E revenue</t>
  </si>
  <si>
    <t>Q4 2026E exit run-rate (Q4 x 4)</t>
  </si>
  <si>
    <t>Compute &amp; infrastructure FY2026E</t>
  </si>
  <si>
    <t>EBIT FY2026E (our basis)</t>
  </si>
  <si>
    <t>Valuation date 31 Dec 2026, mid-period discounting. Live scenario. Commitments are operating cost in FCF (treatment A); B and C below are sensitivities.</t>
  </si>
  <si>
    <t>WACC build</t>
  </si>
  <si>
    <t>Cost of equity = rf + beta x ERP</t>
  </si>
  <si>
    <t>After-tax cost of debt</t>
  </si>
  <si>
    <t>Equity bridge items common to every case (US$B)</t>
  </si>
  <si>
    <t>Short-term investments</t>
  </si>
  <si>
    <t>Restricted cash (if included)</t>
  </si>
  <si>
    <t>Option exercise proceeds (PV, dated to exercise)</t>
  </si>
  <si>
    <t>Tax Schedule: strike cash in the year of exercise, discounted at WACC</t>
  </si>
  <si>
    <t>AMD Class N purchase cash (if flagged)</t>
  </si>
  <si>
    <t>Primary IPO proceeds (if entered)</t>
  </si>
  <si>
    <t>Less: interest-bearing debt</t>
  </si>
  <si>
    <t>Less: Broadcom note conversion leakage</t>
  </si>
  <si>
    <t>S-1 p.158; outside UFCF (interest is not operating)</t>
  </si>
  <si>
    <t>S-1 F-60: $1.2B accrued, unpaid at 30 Jun 2026</t>
  </si>
  <si>
    <t>Live DCF (from Model)</t>
  </si>
  <si>
    <t>Period</t>
  </si>
  <si>
    <t>Unlevered FCF</t>
  </si>
  <si>
    <t>Discount time (years)</t>
  </si>
  <si>
    <t>Terminal value</t>
  </si>
  <si>
    <t>EBIT FY2036</t>
  </si>
  <si>
    <t>NOPAT FY2036 at the full tax rate</t>
  </si>
  <si>
    <t>Implied terminal EV / FY2036 EBIT</t>
  </si>
  <si>
    <t>Implied terminal EV / FY2036 revenue</t>
  </si>
  <si>
    <t>Enterprise value to equity value per share (US$B)</t>
  </si>
  <si>
    <t>Sum of PV of UFCF, FY2027-FY2036</t>
  </si>
  <si>
    <t>Enterprise value</t>
  </si>
  <si>
    <t>Less: distress haircut (p x (1 - recovery))</t>
  </si>
  <si>
    <t>Plus: cash, short-term investments, restricted cash</t>
  </si>
  <si>
    <t>Plus: option cash, AMD, IPO; less debt, Broadcom leakage</t>
  </si>
  <si>
    <t>Less: leakage on note draws and any residual financing</t>
  </si>
  <si>
    <t>Draws are linked to need: only if unrestricted liquidity would fall below the $5B covenant (Model). Need beyond $42B is costed at assumed terms and flagged.</t>
  </si>
  <si>
    <t>Equity value before governance discount</t>
  </si>
  <si>
    <t>Less: governance discount</t>
  </si>
  <si>
    <t>Equity value</t>
  </si>
  <si>
    <t>Diluted shares, live scenario (M)</t>
  </si>
  <si>
    <t>vs Series H common-equivalent price ($58.90)</t>
  </si>
  <si>
    <t>The $1.5T talk per share on the same diluted count</t>
  </si>
  <si>
    <t>Implied EV / Q3 run-rate revenue</t>
  </si>
  <si>
    <t>Implied EV / FY2027 revenue</t>
  </si>
  <si>
    <t>Check: equals Model block equity</t>
  </si>
  <si>
    <t>Commitment treatments (live case). Our base is A. Never apply A and the debt deduction together.</t>
  </si>
  <si>
    <t>PV of live floor FY27-45 at WACC</t>
  </si>
  <si>
    <t>PV of live floor FY27-45 at pre-tax cost of debt (7.1%)</t>
  </si>
  <si>
    <t>PV of all commitments at 100% (incl. SpaceXAI), at 7.1%</t>
  </si>
  <si>
    <t>$/share</t>
  </si>
  <si>
    <t>Damodaran's sheet: $363.0B PV of lease/commitment debt (External).</t>
  </si>
  <si>
    <t>Full Broadcom rent (principal + interest) and every other commitment in compute cost; nothing deducted as debt.</t>
  </si>
  <si>
    <t>C. Illustrative double count: in margin AND as debt</t>
  </si>
  <si>
    <t>Shows the size of a double count. Not a claim about any analyst's model.</t>
  </si>
  <si>
    <t>D. No floor: compute = demand only</t>
  </si>
  <si>
    <t>Case data table (Sensitivities B).</t>
  </si>
  <si>
    <t>Value cost of the commitment floor (D - A)</t>
  </si>
  <si>
    <t>Equity-award tax deductions (settlement at each case's own value)</t>
  </si>
  <si>
    <t>Live equity without future award deductions</t>
  </si>
  <si>
    <t>Value of future award deductions (live)</t>
  </si>
  <si>
    <t>Live with the RSU settlement stress schedule: equity</t>
  </si>
  <si>
    <t>Effect on the next line. The live schedule is an expense-pattern approximation (Tax Schedule).</t>
  </si>
  <si>
    <t>...difference vs live equity</t>
  </si>
  <si>
    <t>Financing and note sensitivities (not in any scenario)</t>
  </si>
  <si>
    <t>Financing stress: $42B notes at 13% PIK, 85% conversion</t>
  </si>
  <si>
    <t>...per diluted share</t>
  </si>
  <si>
    <t>Rollover notes repaid at principal, not converted ($/sh)</t>
  </si>
  <si>
    <t>Cap-blocked notes keep a cash path at maturity (p.165, p.176): fewer shares; rollover principal by tranche repaid in 2034-35, PV at 7.1% (Dilution Calcs).</t>
  </si>
  <si>
    <t>Millions of shares unless stated. Reconciled to the S-1's 16.94B 'fully diluted' figure (p.13) from F-7 and F-51. Existing awards and issued or committed shares are counted; future grants are expensed through SBC in FCF (never both).</t>
  </si>
  <si>
    <t>Value</t>
  </si>
  <si>
    <t>Note</t>
  </si>
  <si>
    <t>A. Fully diluted shares at 30 Jun 2026: reconstruction from the S-1 (F-7, F-51, p.165)</t>
  </si>
  <si>
    <t>Class A common outstanding</t>
  </si>
  <si>
    <t>#m</t>
  </si>
  <si>
    <t>S-1 F-7</t>
  </si>
  <si>
    <t>Post-split basis (10-for-1, 17 Sep 2026, retroactive: F-15).</t>
  </si>
  <si>
    <t>Class N common outstanding</t>
  </si>
  <si>
    <t>Issued in Feb 2026 for donation matching.</t>
  </si>
  <si>
    <t>Total shares reserved for issuance, as-if converted</t>
  </si>
  <si>
    <t>S-1 F-51</t>
  </si>
  <si>
    <t>...of which available under the Donation Matching Plan</t>
  </si>
  <si>
    <t>...of which stock options and RSUs outstanding</t>
  </si>
  <si>
    <t>...of which available for future grant under the 2021 Plan</t>
  </si>
  <si>
    <t>...of which preferred stock, as converted (balance)</t>
  </si>
  <si>
    <t>Derived, S-1 F-51</t>
  </si>
  <si>
    <t>Sum of the Series A-H rows. ~10.03x the 853.4M preferred shares (F-6) because Series D converts at ~10.4-10.6:1 (F-48).</t>
  </si>
  <si>
    <t>Shares issuable on the Amazon notes</t>
  </si>
  <si>
    <t>S-1 p.165</t>
  </si>
  <si>
    <t>Principal $6,203M at $2.0928 / $5.0478 per share; carried at $108.6B (F-6). The p.13 figure assumes full conversion.</t>
  </si>
  <si>
    <t>Fully diluted, rebuilt (outstanding + reserved + notes)</t>
  </si>
  <si>
    <t>Initial Public Benefit issuance (Class N, after 30 Jun)</t>
  </si>
  <si>
    <t>S-1 p.13, F-66</t>
  </si>
  <si>
    <t>846,840,960 shares, '5% of our fully diluted shares as of June 30, 2026 (assuming full conversion of the Amazon Notes)'.</t>
  </si>
  <si>
    <t>...stated as a % of fully diluted shares at 30 Jun 2026</t>
  </si>
  <si>
    <t>S-1 p.13</t>
  </si>
  <si>
    <t>Fully diluted shares implied by p.13 (the 16.94B anchor)</t>
  </si>
  <si>
    <t>Reconstruction less anchor</t>
  </si>
  <si>
    <t>Ties to ~0.1M. So the anchor INCLUDES the June RSUs, the unallocated 2021 Plan pool and the unused donation reserve, and EXCLUDES the 846.8M Public Benefit shares sized off it.</t>
  </si>
  <si>
    <t>Options outstanding</t>
  </si>
  <si>
    <t>Inside the F-51 awards line.</t>
  </si>
  <si>
    <t>Weighted-average exercise price</t>
  </si>
  <si>
    <t>RSUs outstanding, 30 Jun 2026</t>
  </si>
  <si>
    <t>S-1 F-53</t>
  </si>
  <si>
    <t>Options + RSUs less the F-51 awards line</t>
  </si>
  <si>
    <t>Should be ~0.</t>
  </si>
  <si>
    <t>B. Anchors and the talk</t>
  </si>
  <si>
    <t>Per-share price at $1.5T talk on the 16.94B anchor</t>
  </si>
  <si>
    <t>Per-share price at $2T talk on the 16.94B anchor</t>
  </si>
  <si>
    <t>~$118.</t>
  </si>
  <si>
    <t>Series H-1/H-2 price per preferred share</t>
  </si>
  <si>
    <t>S-1 p.283, F-47</t>
  </si>
  <si>
    <t>Preferred-to-common conversion ratio</t>
  </si>
  <si>
    <t>S-1 F-15, F-48</t>
  </si>
  <si>
    <t>10-for-1 split, 17 Sep 2026 (Series D slightly higher).</t>
  </si>
  <si>
    <t>Series H price per common share</t>
  </si>
  <si>
    <t>$58.90.</t>
  </si>
  <si>
    <t>Series H price x anchor</t>
  </si>
  <si>
    <t>~$998B vs press $965B post-money.</t>
  </si>
  <si>
    <t>C. Economic diluted shares for valuation (claims on equity at the IPO)</t>
  </si>
  <si>
    <t>Preferred, as converted</t>
  </si>
  <si>
    <t>Amazon note shares (full conversion assumed; see E)</t>
  </si>
  <si>
    <t>An explicit equity-equivalent assumption: rollover notes keep a cash-settlement path at maturity (p.176). Alternative shown in E and on DCF.</t>
  </si>
  <si>
    <t>Options counted gross; their strike cash is added in the bridge.</t>
  </si>
  <si>
    <t>RSUs granted after 30 Jun 2026</t>
  </si>
  <si>
    <t>S-1 F-65 (Note 17)</t>
  </si>
  <si>
    <t>Granted from the 2021 Plan pool; existing awards at the IPO. $5.8B grant-date value, 4-year service vesting.</t>
  </si>
  <si>
    <t>Donation-matching Class N issued Oct 2026</t>
  </si>
  <si>
    <t>Settles the Q3 $2.0B charge; drawn from the donation reserve.</t>
  </si>
  <si>
    <t>Further donation-matching issuance expected</t>
  </si>
  <si>
    <t>Derived on Our est.</t>
  </si>
  <si>
    <t>Share of the remaining reserve (Inputs 'donuse'). Not expensed in our operating cost, so counted here.</t>
  </si>
  <si>
    <t>Initial Public Benefit issuance</t>
  </si>
  <si>
    <t>Legally outstanding; held by a subsidiary but may be sold or donated in furtherance of the public benefit (p.145): a claim on equity.</t>
  </si>
  <si>
    <t>Include AMD Class N purchase (1 = yes)</t>
  </si>
  <si>
    <t>AMD 'committed to purchase up to $5.0 billion ... if certain conditions are achieved' (Note 17). At a fair price it is value-neutral per share.</t>
  </si>
  <si>
    <t>AMD purchase amount</t>
  </si>
  <si>
    <t>S-1 F-65/66</t>
  </si>
  <si>
    <t>Assumed IPO price for any shares issued for cash</t>
  </si>
  <si>
    <t>Defaults to the $1.5T talk on the anchor.</t>
  </si>
  <si>
    <t>Shares issued for cash (AMD if flagged + primary IPO)</t>
  </si>
  <si>
    <t>Economic diluted shares before Public Benefit top-ups</t>
  </si>
  <si>
    <t>Public Benefit top-up size</t>
  </si>
  <si>
    <t>2% of then-outstanding shares incl. options, RSUs, convertibles and Fund shares, per +50% price milestone.</t>
  </si>
  <si>
    <t>Economic diluted shares, live scenario (with top-ups)</t>
  </si>
  <si>
    <t>Memo: 2021 Plan pool inside the anchor, not counted</t>
  </si>
  <si>
    <t>Future grants are expensed as SBC in FCF.</t>
  </si>
  <si>
    <t>Memo: donation reserve not expected to be issued</t>
  </si>
  <si>
    <t>Should be 0: the bridge from 16.94B to our count.</t>
  </si>
  <si>
    <t>Memo: previous method (anchor + RSUs again, +2%)</t>
  </si>
  <si>
    <t>18.47B: double-counted the June RSUs and omitted the 846.8M Public Benefit shares.</t>
  </si>
  <si>
    <t>D. Value adjustments carried to the equity bridge (US$B)</t>
  </si>
  <si>
    <t>Option exercise proceeds, undiscounted (options x strike)</t>
  </si>
  <si>
    <t>Options are counted gross, so their strike cash is added back: dated to the exercise schedule and discounted on the Tax Schedule.</t>
  </si>
  <si>
    <t>Broadcom note facility (only to pay its own rent)</t>
  </si>
  <si>
    <t>S-1 pp.166-167</t>
  </si>
  <si>
    <t>Share of facility drawn up front (beyond any funding gap)</t>
  </si>
  <si>
    <t>Draws are linked to need inside each case: the gap to the $5B covenant is drawn on these notes and its leakage deducted (Model/Engine 'Funding gap'). The full-facility stress is shown separately on DCF.</t>
  </si>
  <si>
    <t>PIK rate (normal terms)</t>
  </si>
  <si>
    <t>S-1 p.167</t>
  </si>
  <si>
    <t>Conversion price as % of 30-day VWAP (normal terms)</t>
  </si>
  <si>
    <t>Years from draw to conversion</t>
  </si>
  <si>
    <t>Value leakage in the valuation cases</t>
  </si>
  <si>
    <t>Accrued PIK principal converted at a discount, less the rent it paid: value passing to the noteholder.</t>
  </si>
  <si>
    <t>Residual financing beyond the facility: accretion rate</t>
  </si>
  <si>
    <t>No source of funds is disclosed beyond the facilities. Assumed priced like the adverse Broadcom terms (13% PIK, p.167): distressed equity-linked money.</t>
  </si>
  <si>
    <t>Residual financing: conversion at % of share price</t>
  </si>
  <si>
    <t>As the adverse Broadcom terms (p.167).</t>
  </si>
  <si>
    <t>Stress: PIK if revenue conditions are missed</t>
  </si>
  <si>
    <t>Stress: conversion at % of VWAP if conditions are missed</t>
  </si>
  <si>
    <t>Stress: leakage if the full $42B is drawn on adverse terms</t>
  </si>
  <si>
    <t>Not in any scenario; shown as a sensitivity on DCF.</t>
  </si>
  <si>
    <t>E. Amazon convertible notes and the 12% cap</t>
  </si>
  <si>
    <t>Notes principal</t>
  </si>
  <si>
    <t>Amazon 2023 NPA principal (converts at $2.0928)</t>
  </si>
  <si>
    <t>1,044.7M shares. Matures March 2034.</t>
  </si>
  <si>
    <t>...maturity (year)</t>
  </si>
  <si>
    <t>March 2034.</t>
  </si>
  <si>
    <t>Amazon 2024 NPA principal (converts at $5.0478)</t>
  </si>
  <si>
    <t>795.7M shares, three tranches.</t>
  </si>
  <si>
    <t>...maturity (year, average of three tranches)</t>
  </si>
  <si>
    <t>January, May and November 2035.</t>
  </si>
  <si>
    <t>Amazon ownership cap (as-converted capitalisation)</t>
  </si>
  <si>
    <t>Waivable only by Amazon.</t>
  </si>
  <si>
    <t>Cap-test capitalisation excl. note shares (p.165)</t>
  </si>
  <si>
    <t>Derived on S-1 p.165</t>
  </si>
  <si>
    <t>p.165: 'all of our outstanding capital stock on an as-converted basis together with shares underlying our outstanding equity awards and other outstanding convertible securities'. So: issued shares (incl. Public Benefit and Oct donation shares) + awards outstanding. Unissued reserves (expected donations, plan pool) are excluded. Whether the untested Amazon notes themselves count is not stated; excluded here.</t>
  </si>
  <si>
    <t>Amazon's as-converted preferred (common equivalents)</t>
  </si>
  <si>
    <t>136.6M + 19.3M + 8.5M preferred x 10. Low confidence; the S-1 does not total it.</t>
  </si>
  <si>
    <t>Amazon's as-converted preferred (low: -10%)</t>
  </si>
  <si>
    <t>Range for the conversion estimate.</t>
  </si>
  <si>
    <t>Amazon's as-converted preferred (high: +10%)</t>
  </si>
  <si>
    <t>Note shares convertible at IPO under the cap</t>
  </si>
  <si>
    <t>Solves A + x = cap x (base + x). The S-1 leaves the IPO conversion amount blank.</t>
  </si>
  <si>
    <t>Note shares convertible at IPO under the cap (low holdings)</t>
  </si>
  <si>
    <t>Note shares convertible at IPO under the cap (high holdings)</t>
  </si>
  <si>
    <t>Rollover note shares left outstanding (base)</t>
  </si>
  <si>
    <t>Re-issued as non-interest-bearing rollover notes, still at fair value (p.176).</t>
  </si>
  <si>
    <t>...share of the notes that rolls over (base)</t>
  </si>
  <si>
    <t>...range across Amazon-holding assumptions</t>
  </si>
  <si>
    <t>Low holdings convert more; shown with the high case in the next row.</t>
  </si>
  <si>
    <t>...range (high holdings)</t>
  </si>
  <si>
    <t>Rollover principal, 2023 NPA (pro rata)</t>
  </si>
  <si>
    <t>Which tranche converts first is not disclosed. If 2023 converts first, rollover principal is ~$0.2B higher; if 2024 first, ~$0.3B lower.</t>
  </si>
  <si>
    <t>Rollover principal, 2024 NPA (pro rata)</t>
  </si>
  <si>
    <t>PV of repaying rollover principal at maturity (7.1%)</t>
  </si>
  <si>
    <t>Discounted at the pre-tax cost of debt (a senior cash claim). Ignores later quarterly conversions as cap headroom appears.</t>
  </si>
  <si>
    <t>P&amp;L fair-value swing per $1 of share price after IPO (base)</t>
  </si>
  <si>
    <t>Before conversion the swing is all 1.84B shares (~$1.84B per $1).</t>
  </si>
  <si>
    <t>Value of all note shares at the $1.5T talk price</t>
  </si>
  <si>
    <t>vs $108.6B carried: ~$55B more fair-value expense.</t>
  </si>
  <si>
    <t>Amazon stake if all notes converted (economic count)</t>
  </si>
  <si>
    <t>F. Private-round ladder (per common share = per preferred / 10)</t>
  </si>
  <si>
    <t>Series E-1 price per preferred share (Jan-Mar 2025)</t>
  </si>
  <si>
    <t>S-1 p.284, F-40</t>
  </si>
  <si>
    <t>Series E-1 per common share</t>
  </si>
  <si>
    <t>$1.5T talk per share (anchor) vs Series E-1</t>
  </si>
  <si>
    <t>Series F-1 price per preferred share (Aug-Sep 2025)</t>
  </si>
  <si>
    <t>S-1 p.284, F-47</t>
  </si>
  <si>
    <t>Series F-1 per common share</t>
  </si>
  <si>
    <t>$1.5T talk per share (anchor) vs Series F-1</t>
  </si>
  <si>
    <t>Series G-1 price per preferred share (Jan-Feb 2026)</t>
  </si>
  <si>
    <t>Series G-1 per common share</t>
  </si>
  <si>
    <t>$1.5T talk per share (anchor) vs Series G-1</t>
  </si>
  <si>
    <t>Series H-1 price per preferred share (May-Jun 2026)</t>
  </si>
  <si>
    <t>Series H-1 per common share</t>
  </si>
  <si>
    <t>$1.5T talk per share (anchor) vs Series H-1</t>
  </si>
  <si>
    <t>G. Memo: not counted (would double count)</t>
  </si>
  <si>
    <t>2026 Equity Incentive Plan reserve</t>
  </si>
  <si>
    <t>S-1 Note 17</t>
  </si>
  <si>
    <t>Future grants: expensed via SBC % in FCF instead.</t>
  </si>
  <si>
    <t>2026 ESPP reserve</t>
  </si>
  <si>
    <t>Google 2026 note facility, undrawn</t>
  </si>
  <si>
    <t>S-1 p.166</t>
  </si>
  <si>
    <t>Settles in Class N at 30-day VWAP: value-neutral.</t>
  </si>
  <si>
    <t>Amazon 2026 note facility, undrawn</t>
  </si>
  <si>
    <t>8% notes; settles at VWAP: value-neutral.</t>
  </si>
  <si>
    <t>Undrawn convertible facilities in total</t>
  </si>
  <si>
    <t>$77B. Broadcom leakage above.</t>
  </si>
  <si>
    <t>Diluted shares if the EIP reserve were counted instead</t>
  </si>
  <si>
    <t>Shown only to size the double count we avoid.</t>
  </si>
  <si>
    <t>Deductions arise when RSUs vest and options are exercised, at the share price on that date (US$B unless stated). Feeds every projection block. Opening NOLs and credits: Inputs section 5 (S-1 F-56).</t>
  </si>
  <si>
    <t>Total</t>
  </si>
  <si>
    <t>Share of June RSUs vested at the IPO (catch-up / total unrecognised expense)</t>
  </si>
  <si>
    <t>Years after the IPO (mid-period; IPO ~mid-Nov 2026)</t>
  </si>
  <si>
    <t>Price multiple vs the IPO price (grown at the cost of equity)</t>
  </si>
  <si>
    <t>June RSUs vesting</t>
  </si>
  <si>
    <t>June RSUs vesting: stress schedule (35% at IPO, rest FY27-29)</t>
  </si>
  <si>
    <t>Options exercised</t>
  </si>
  <si>
    <t>Option strike cash received</t>
  </si>
  <si>
    <t>...PV at 31 Dec 2026 (mid-period, at WACC)</t>
  </si>
  <si>
    <t>Note: under treatment A the Broadcom rent is fully deductible as an operating cost; book SBC on future grants is deducted as incurred (a simplification).</t>
  </si>
  <si>
    <t>Settlement price and deductible award value by scenario (each at its own converged value, from the scenario data table)</t>
  </si>
  <si>
    <t>Base: settlement price path</t>
  </si>
  <si>
    <t>Base: deductible award value</t>
  </si>
  <si>
    <t>Approximation: June RSU settlement follows the expense pattern (catch-up share, then p.65 split). Stress schedule above; its value effect is on DCF.</t>
  </si>
  <si>
    <t>Named deals from S-1 pp.171-172, note totals F-36, F-59, F-65/66. Timing and ramps are our estimates (blue). Annual amount = amount x (F(end) - F(start)), F = cumulative share paid under a linear ramp then flat profile.</t>
  </si>
  <si>
    <t>Deal (US$B)</t>
  </si>
  <si>
    <t>Bucket</t>
  </si>
  <si>
    <t>Amount</t>
  </si>
  <si>
    <t>Start</t>
  </si>
  <si>
    <t>End</t>
  </si>
  <si>
    <t>Ramp yrs</t>
  </si>
  <si>
    <t>Term yrs</t>
  </si>
  <si>
    <t>Profile h</t>
  </si>
  <si>
    <t>2037F</t>
  </si>
  <si>
    <t>2038F</t>
  </si>
  <si>
    <t>2039F</t>
  </si>
  <si>
    <t>2040F</t>
  </si>
  <si>
    <t>2041F</t>
  </si>
  <si>
    <t>2042F</t>
  </si>
  <si>
    <t>2043F</t>
  </si>
  <si>
    <t>2044F</t>
  </si>
  <si>
    <t>2045F</t>
  </si>
  <si>
    <t>Check</t>
  </si>
  <si>
    <t>Firmness / timing note</t>
  </si>
  <si>
    <t>Period end (decimal year)</t>
  </si>
  <si>
    <t>Period length (years)</t>
  </si>
  <si>
    <t>Discount time (mid-period, years from 31 Dec 2026)</t>
  </si>
  <si>
    <t>Google (TPU via Google Cloud), at least</t>
  </si>
  <si>
    <t>TOP</t>
  </si>
  <si>
    <t>S-1 p.171</t>
  </si>
  <si>
    <t>Non-cancellable; true-up. Apr 2026 - Jul 2033. Ramp 1.5 yrs (Our est.).</t>
  </si>
  <si>
    <t>Amazon, at least</t>
  </si>
  <si>
    <t>Non-cancellable; true-up. May 2026 - Apr 2036.</t>
  </si>
  <si>
    <t>Microsoft, at least</t>
  </si>
  <si>
    <t>Non-cancellable (per-tranche exceptions). Nov 2026 - May 2033.</t>
  </si>
  <si>
    <t>Broadcom 2026 Lease Arrangement: rent (principal)</t>
  </si>
  <si>
    <t>S-1 p.75, p.172</t>
  </si>
  <si>
    <t>Five-year finance lease, non-cancellable except default. 'additional capacity ... starting in 2027' -&gt; start 2027 (Our est.). Amount excludes interest.</t>
  </si>
  <si>
    <t>Broadcom 2026 Lease Arrangement: interest</t>
  </si>
  <si>
    <t>Derived: S-1 p.172 'excluding interest' + F-35 7.1%</t>
  </si>
  <si>
    <t>Interest on level quarterly rent at 7.1%. Spread with the principal profile (simplification: true interest is front-loaded within each lease).</t>
  </si>
  <si>
    <t>Broadcom other leases: rent (principal)</t>
  </si>
  <si>
    <t>Derived (161.2 - 125.2)</t>
  </si>
  <si>
    <t>A portion came online in 2026 (p.172). Not itemised.</t>
  </si>
  <si>
    <t>Broadcom other leases: interest</t>
  </si>
  <si>
    <t>Derived: S-1 p.172 + F-35</t>
  </si>
  <si>
    <t>As above.</t>
  </si>
  <si>
    <t>SpaceXAI agreement A: non-cancellable (to Jan 2027 + 90 days)</t>
  </si>
  <si>
    <t>Derived from S-1 p.172</t>
  </si>
  <si>
    <t>Ramp May-Dec 2026, full ~$3.1B/month from Dec 2026 (all agreements); either party may cancel after the lock-in on 90 days' notice.</t>
  </si>
  <si>
    <t>SpaceXAI agreement B: non-cancellable (to Mar 2027 + 90 days)</t>
  </si>
  <si>
    <t>As above, later lock-in.</t>
  </si>
  <si>
    <t>SpaceXAI agreement A: cancellable remainder at contract rate</t>
  </si>
  <si>
    <t>SXR</t>
  </si>
  <si>
    <t>Derived: S-1 p.172 rate; endpoint External</t>
  </si>
  <si>
    <t>Cancellable on 90 days: not a floor in any scenario (uptake 0%).</t>
  </si>
  <si>
    <t>SpaceXAI agreement B: cancellable remainder at contract rate</t>
  </si>
  <si>
    <t>SpaceXAI: headroom to the 'up to' $120.5B ceiling (stress only)</t>
  </si>
  <si>
    <t>Derived: S-1 p.172 ceiling</t>
  </si>
  <si>
    <t>Not a payment forecast: the amended ceiling exceeds the contract-rate path to SpaceX's May 2029 endpoint. Included only so the bucket ties to $120.5B.</t>
  </si>
  <si>
    <t>Nscale (NVIDIA), up to</t>
  </si>
  <si>
    <t>POD</t>
  </si>
  <si>
    <t>Fees accrue only as capacity is delivered and accepted; into 2033.</t>
  </si>
  <si>
    <t>Lambda (NVIDIA)</t>
  </si>
  <si>
    <t>Paid as delivered; $34.9B terminable if Lambda doesn't secure the lease; into 2034.</t>
  </si>
  <si>
    <t>Additional TPU (Google and others), committed, price unset</t>
  </si>
  <si>
    <t>PU</t>
  </si>
  <si>
    <t>Delivered 2028-31, payable after delivery. Midpoint of $125-150B. Excluded from the S-1 table.</t>
  </si>
  <si>
    <t>AMD Helios, committed, no fixed $</t>
  </si>
  <si>
    <t>'expect aggregate expenditures to exceed $20.0 billion'; option for about as much again (not modelled).</t>
  </si>
  <si>
    <t>Short-term agreements after 30 Jun (Note 17)</t>
  </si>
  <si>
    <t>Minimum non-cancellable, short term.</t>
  </si>
  <si>
    <t>RES</t>
  </si>
  <si>
    <t>Derived: 832 - 637 named - Broadcom interest</t>
  </si>
  <si>
    <t>The leases note ($321.4B) is undiscounted, so it already contains Broadcom's interest; that interest is now scheduled explicitly above and taken out of this plug. p.33: post-2030 commitments fall 'substantially all' in 2031-2045. A ceiling: may overlap amended deals.</t>
  </si>
  <si>
    <t>Total, all deals at 100%</t>
  </si>
  <si>
    <t>Ties to footnote total + estimates (check)</t>
  </si>
  <si>
    <t>Bucket totals (100%)</t>
  </si>
  <si>
    <t>Take-or-pay (non-cancellable minimums, incl. Broadcom interest)</t>
  </si>
  <si>
    <t>Committed, price unset (TPU, AMD)</t>
  </si>
  <si>
    <t>SpaceXAI cancellable remainder and headroom</t>
  </si>
  <si>
    <t>Live cost floor (uptake-weighted, Inputs section 3)</t>
  </si>
  <si>
    <t>Memo: Broadcom principal (rent excl. interest) by period</t>
  </si>
  <si>
    <t>Memo: Broadcom lease interest by period</t>
  </si>
  <si>
    <t>~$66B: Google + Amazon + Microsoft + Broadcom/5 over each term (excludes Broadcom interest)</t>
  </si>
  <si>
    <t>Memo: seven named deals (Google, Amazon, MSFT, Broadcom, SpaceXAI, Nscale, Lambda)</t>
  </si>
  <si>
    <t>Inputs used in the deal table</t>
  </si>
  <si>
    <t>Broadcom finance-lease rent, all leases ($B, excl. interest)</t>
  </si>
  <si>
    <t>Broadcom finance-lease rate (existing portfolio's weighted-average rate)</t>
  </si>
  <si>
    <t>Lease payments per lease (quarterly over five years)</t>
  </si>
  <si>
    <t>S-1 p.172 (five-year leases, quarterly rent)</t>
  </si>
  <si>
    <t>SpaceXAI, 'up to' total ($B)</t>
  </si>
  <si>
    <t>SpaceXAI monthly fee at full capacity ($B)</t>
  </si>
  <si>
    <t>S-1 p.172 (from Dec 2026)</t>
  </si>
  <si>
    <t>Share of SpaceXAI capacity under the agreement locked to Jan 2027</t>
  </si>
  <si>
    <t>Our est. (S-1 p.172 gives two lock-in dates, no split)</t>
  </si>
  <si>
    <t>Agreement A paid to (Jan 2027 lock-in + 90 days' notice)</t>
  </si>
  <si>
    <t>Agreement B paid to (Mar 2027 lock-in + 90 days' notice)</t>
  </si>
  <si>
    <t>Contract endpoint (SpaceX's own filing)</t>
  </si>
  <si>
    <t>Memo: SpaceX-side fee, Colossus I+II, ~325,000 GPUs ($B/month)</t>
  </si>
  <si>
    <t>Extra TPU estimate, low ($B)</t>
  </si>
  <si>
    <t>Extra TPU estimate, high ($B)</t>
  </si>
  <si>
    <t>Broadcom interest as % of principal (level quarterly payments at the lease rate)</t>
  </si>
  <si>
    <t>Derived: annuity on $1 of principal; total payments - 1</t>
  </si>
  <si>
    <t>$1.5T low</t>
  </si>
  <si>
    <t>$1.5T mid</t>
  </si>
  <si>
    <t>$1.5T high</t>
  </si>
  <si>
    <t>$2T low</t>
  </si>
  <si>
    <t>$2T mid</t>
  </si>
  <si>
    <t>$2T high</t>
  </si>
  <si>
    <t>Entry equity value</t>
  </si>
  <si>
    <t>External (talk)</t>
  </si>
  <si>
    <t>Required annual return</t>
  </si>
  <si>
    <t>Years to 2031</t>
  </si>
  <si>
    <t>IPO late 2026 to end 2031</t>
  </si>
  <si>
    <t>Earnings multiple in 2031 (P/E)</t>
  </si>
  <si>
    <t>Our est.; Damodaran's year-5 EV/NOPAT 24.7x untaxed; Nasdaq-100 ~25x forward (Fortune)</t>
  </si>
  <si>
    <t>Net margin in 2031</t>
  </si>
  <si>
    <t>Our est.; Damodaran 27.5% pre-tax = 20.6% fully taxed</t>
  </si>
  <si>
    <t>Dilution to 2031 (d)</t>
  </si>
  <si>
    <t>Starting revenue: Q3 2026 run-rate (Q3 x 4)</t>
  </si>
  <si>
    <t>Equity value needed in 2031</t>
  </si>
  <si>
    <t>Earnings needed in 2031</t>
  </si>
  <si>
    <t>Revenue needed in 2031</t>
  </si>
  <si>
    <t>Required revenue growth per year</t>
  </si>
  <si>
    <t>B. What the full model needs: Goal Seek on the live model (results pasted), replayed live by a data table</t>
  </si>
  <si>
    <t>Replay driver (data-table input; leave blank)</t>
  </si>
  <si>
    <t>Replay: one data table re-runs the live model at each pasted solution (rows = solve 1-10: $1.5T at margins 1-5, then $2T)</t>
  </si>
  <si>
    <t>Solve</t>
  </si>
  <si>
    <t>Equity</t>
  </si>
  <si>
    <t>CAGR FY26-31</t>
  </si>
  <si>
    <t>Rev FY31</t>
  </si>
  <si>
    <t>Run-rate CAGR</t>
  </si>
  <si>
    <t>Live values in this row; replays below</t>
  </si>
  <si>
    <t>$1.5T: equity at the solution (replayed)</t>
  </si>
  <si>
    <t>$1.5T: residual vs target ($B)</t>
  </si>
  <si>
    <t>$1.5T: required revenue CAGR FY2026-31</t>
  </si>
  <si>
    <t>$1.5T: required FY2031 revenue ($B)</t>
  </si>
  <si>
    <t>$2T: equity at the solution (replayed)</t>
  </si>
  <si>
    <t>$2T: residual vs target ($B)</t>
  </si>
  <si>
    <t>$2T: required revenue CAGR FY2026-31</t>
  </si>
  <si>
    <t>$2T: required FY2031 revenue ($B)</t>
  </si>
  <si>
    <t>Our live case: FY27 growth / CAGR FY26-31 / FY31 revenue</t>
  </si>
  <si>
    <t>His equity value (spreadsheet output)</t>
  </si>
  <si>
    <t>His PV of compute and lease commitments deducted as debt</t>
  </si>
  <si>
    <t>Part of $472.3B debt</t>
  </si>
  <si>
    <t>IPO proceeds he adds to cash</t>
  </si>
  <si>
    <t>Makes his figure post-money</t>
  </si>
  <si>
    <t>Short-term investments he omits</t>
  </si>
  <si>
    <t>Amazon notes at fair value in his debt</t>
  </si>
  <si>
    <t>Book debt $109.3B = notes FV; we count them as shares</t>
  </si>
  <si>
    <t>His failure haircut (10% x 50%)</t>
  </si>
  <si>
    <t>Operating assets $1,815.6B -&gt; $1,724.8B</t>
  </si>
  <si>
    <t>His year-5 revenue</t>
  </si>
  <si>
    <t>43%/yr in years 2-5 after $98.5B in year 1</t>
  </si>
  <si>
    <t>His operating margin from year 5</t>
  </si>
  <si>
    <t>His initial cost of capital</t>
  </si>
  <si>
    <t>His year-10 revenue</t>
  </si>
  <si>
    <t>Bridge from his number to our basis</t>
  </si>
  <si>
    <t>Damodaran equity, as published (post-money)</t>
  </si>
  <si>
    <t>- remove assumed IPO proceeds (to pre-money)</t>
  </si>
  <si>
    <t>+ short-term investments he omits</t>
  </si>
  <si>
    <t>+ Amazon notes: claims on shares, not debt</t>
  </si>
  <si>
    <t>Damodaran on our basis, $363B deduction kept</t>
  </si>
  <si>
    <t>+ $363B only if it double counts his margin (unverified)</t>
  </si>
  <si>
    <t>Conditional: Damodaran if the $363B double counts</t>
  </si>
  <si>
    <t>Our live equity value</t>
  </si>
  <si>
    <t>Gap: ours less his (deduction kept)</t>
  </si>
  <si>
    <t>Gap: ours less his (conditional add-back)</t>
  </si>
  <si>
    <t>Driver comparison</t>
  </si>
  <si>
    <t>Damodaran</t>
  </si>
  <si>
    <t>Ours (live)</t>
  </si>
  <si>
    <t>Year-5 / FY2031 revenue ($B)</t>
  </si>
  <si>
    <t>Year-10 / FY2036 revenue ($B)</t>
  </si>
  <si>
    <t>Growth from Q3 run-rate to year 5 (5 yrs)</t>
  </si>
  <si>
    <t>Mature operating margin</t>
  </si>
  <si>
    <t>Cost of capital</t>
  </si>
  <si>
    <t>Failure / distress haircut on operating value</t>
  </si>
  <si>
    <t>Commitments</t>
  </si>
  <si>
    <t>PV $363B as debt; margin interaction unverified</t>
  </si>
  <si>
    <t>Floor in operating cost (A)</t>
  </si>
  <si>
    <t>Reading: his 'upbeat' path to year 5 is close to our base. On our bridge basis his value is ~$1.50T with his commitment deduction, or ~$1.86T only if that deduction duplicates costs already in his margin, which we have not verified.</t>
  </si>
  <si>
    <t>Data-table drivers: leave blank. Each table substitutes its values here; blank means the live inputs.</t>
  </si>
  <si>
    <t>Live equity, US$B (Goal Seek set cell)</t>
  </si>
  <si>
    <t>Scenario driver value -&gt;</t>
  </si>
  <si>
    <t>Award settlement price at the IPO ($/sh, converged)</t>
  </si>
  <si>
    <t>Revenue FY2026</t>
  </si>
  <si>
    <t>B. Stress cases: one data table over the case driver (E8)</t>
  </si>
  <si>
    <t>No floor</t>
  </si>
  <si>
    <t>RSU stress</t>
  </si>
  <si>
    <t>Awards off</t>
  </si>
  <si>
    <t>Case driver value -&gt;</t>
  </si>
  <si>
    <t>Terminal EBIT margin (columns) -&gt;</t>
  </si>
  <si>
    <t>live</t>
  </si>
  <si>
    <t>Shading: light green &gt;= target 1 ($1.5T); dark green &gt;= target 2 ($2T); orange = financing-contingent (see E).</t>
  </si>
  <si>
    <t>Count of grid-1 cells needing money beyond the facility:</t>
  </si>
  <si>
    <t>Every check returns TRUE when it ties. The Summary shows the overall status.</t>
  </si>
  <si>
    <t>Result</t>
  </si>
  <si>
    <t>Value / diff</t>
  </si>
  <si>
    <t>A. Source ties: agree to the S-1 or a cited external figure</t>
  </si>
  <si>
    <t>Hist: operating income (formula) = as reported, all periods</t>
  </si>
  <si>
    <t>Hist: net loss (formula) = as reported, all periods</t>
  </si>
  <si>
    <t>Hist: consumption + subscription = revenue (FY23-H1'26)</t>
  </si>
  <si>
    <t>Hist: functional (Note 8) total = by-nature total</t>
  </si>
  <si>
    <t>Hist: Q1'26 + Q2'26 = H1'26 (revenue, every cost line)</t>
  </si>
  <si>
    <t>Hist: Q1'25 + Q2'25 = H1'25 (revenue, every cost line)</t>
  </si>
  <si>
    <t>Hist: quarters Q1-Q4'25 sum to FY25 (revenue, every cost line)</t>
  </si>
  <si>
    <t>Hist: H1'26 FCF = $3,447M (OCF 3,929 - capex 482)</t>
  </si>
  <si>
    <t>Hist: cash + ST investments 30 Jun 2026 = $131,651M (S-1 p.25)</t>
  </si>
  <si>
    <t>Commit: straight-line take-or-pay ~$66B/yr (9fin)</t>
  </si>
  <si>
    <t>Shares: F-7 + F-51 + notes rebuild 16.94B (within 1M)</t>
  </si>
  <si>
    <t>Shares: options + RSUs = F-51 awards outstanding</t>
  </si>
  <si>
    <t>Shares: fully diluted anchor = 16.94B (846.84M / 5%)</t>
  </si>
  <si>
    <t>Shares: Series H common-equivalent = $58.90</t>
  </si>
  <si>
    <t>B. Reconciliations between parts of the model (cap table, tax, leases, cases, solves)</t>
  </si>
  <si>
    <t>Shares: anchor-to-economic-count bridge closes</t>
  </si>
  <si>
    <t>Tax: June RSU vesting schedule = 1,049.6M RSUs outstanding</t>
  </si>
  <si>
    <t>Broadcom: principal = $161.2B; interest = principal x factor</t>
  </si>
  <si>
    <t>DCF: presentation equity = Model block equity</t>
  </si>
  <si>
    <t>Scenario table: live scenario column = live model</t>
  </si>
  <si>
    <t>Data-table driver cells are blank</t>
  </si>
  <si>
    <t>Reverse: every exact solve within $0.5B of its target</t>
  </si>
  <si>
    <t>Commitments: treatment C (double count) below A by the PV at kd</t>
  </si>
  <si>
    <t>C. Construction checks: formula integrity (they follow from the design, so they cannot catch economic errors)</t>
  </si>
  <si>
    <t>Commit: every deal's schedule sums to its amount</t>
  </si>
  <si>
    <t>Commit: bucket totals = all-deal total, every period</t>
  </si>
  <si>
    <t>Model: compute expense never below the floor</t>
  </si>
  <si>
    <t>Model: EBIT = revenue less every cost line, all periods</t>
  </si>
  <si>
    <t>Model: tax-loss pool and credit pool never negative</t>
  </si>
  <si>
    <t>Model: cash taxes never negative</t>
  </si>
  <si>
    <t>DCF: WACC above terminal growth (live)</t>
  </si>
  <si>
    <t>Commitments: no-floor value &gt;= value with floor</t>
  </si>
  <si>
    <t>Tax: stress RSU schedule settles all 1,049.6M June RSUs</t>
  </si>
  <si>
    <t>Tax: award deductions = Tax Schedule (3 scenarios)</t>
  </si>
  <si>
    <t>Inputs: RSU expense shares sum to 100%</t>
  </si>
  <si>
    <t>ALL CHECKS PASS</t>
  </si>
  <si>
    <t>Every number is from the S-1 (blue, page in column P); ratios and checks are formulas. FY = year to 31 Dec. Q3 2026 revenue is derived (blank in the S-1).</t>
  </si>
  <si>
    <t>Income statement by nature</t>
  </si>
  <si>
    <t>2023A</t>
  </si>
  <si>
    <t>2024A</t>
  </si>
  <si>
    <t>2025A</t>
  </si>
  <si>
    <t>H1'25A</t>
  </si>
  <si>
    <t>H1'26A</t>
  </si>
  <si>
    <t>Q1'25A</t>
  </si>
  <si>
    <t>Q2'25A</t>
  </si>
  <si>
    <t>Q3'25A</t>
  </si>
  <si>
    <t>Q4'25A</t>
  </si>
  <si>
    <t>Q1'26A</t>
  </si>
  <si>
    <t>Q2'26A</t>
  </si>
  <si>
    <t>Consumption-based</t>
  </si>
  <si>
    <t>S-1 F-27</t>
  </si>
  <si>
    <t>Subscription-based</t>
  </si>
  <si>
    <t>Compute and infrastructure</t>
  </si>
  <si>
    <t>Personnel (incl. SBC)</t>
  </si>
  <si>
    <t>Bartz settlement</t>
  </si>
  <si>
    <t>Sales, marketing, and partnerships</t>
  </si>
  <si>
    <t>Other operating and administrative</t>
  </si>
  <si>
    <t>Operating income (loss)</t>
  </si>
  <si>
    <t>Formula; checked against row 14</t>
  </si>
  <si>
    <t>Operating income (loss) as reported</t>
  </si>
  <si>
    <t>Interest income</t>
  </si>
  <si>
    <t>Change in FV of convertible notes, derivatives, SAFEs</t>
  </si>
  <si>
    <t>Other income (expense), net</t>
  </si>
  <si>
    <t>Provision for income taxes</t>
  </si>
  <si>
    <t>Net loss</t>
  </si>
  <si>
    <t>Net loss as reported</t>
  </si>
  <si>
    <t>SBC included in personnel</t>
  </si>
  <si>
    <t>Ratios (derived)</t>
  </si>
  <si>
    <t>Revenue growth QoQ</t>
  </si>
  <si>
    <t>Q3'26 uses the derived revenue</t>
  </si>
  <si>
    <t>Compute &amp; infrastructure / revenue</t>
  </si>
  <si>
    <t>Personnel ex SBC / revenue</t>
  </si>
  <si>
    <t>SBC / revenue</t>
  </si>
  <si>
    <t>Sales, marketing &amp; partnerships / revenue</t>
  </si>
  <si>
    <t>Other op &amp; admin / revenue</t>
  </si>
  <si>
    <t>Operating margin (GAAP, after SBC)</t>
  </si>
  <si>
    <t>Operating margin ex SBC and Bartz</t>
  </si>
  <si>
    <t>Revenue per $1 of compute</t>
  </si>
  <si>
    <t>Expenses by function (Note 8)</t>
  </si>
  <si>
    <t>Cost of revenue</t>
  </si>
  <si>
    <t>S-1 F-40</t>
  </si>
  <si>
    <t>Research and development</t>
  </si>
  <si>
    <t>Sales and marketing</t>
  </si>
  <si>
    <t>General and administrative</t>
  </si>
  <si>
    <t>Total operating expenses (functional)</t>
  </si>
  <si>
    <t>Difference vs by-nature total</t>
  </si>
  <si>
    <t>Check: must be zero</t>
  </si>
  <si>
    <t>Serving gross margin (1 - cost of revenue / revenue)</t>
  </si>
  <si>
    <t>No gross-profit line in the S-1 (F-15); derived</t>
  </si>
  <si>
    <t>Loaded margin (after cost of revenue and SM&amp;P)</t>
  </si>
  <si>
    <t>Cost of revenue / compute &amp; infrastructure</t>
  </si>
  <si>
    <t>Free-tier compute ceiling (functional S&amp;M - SM&amp;P)</t>
  </si>
  <si>
    <t>Cash flow</t>
  </si>
  <si>
    <t>Net cash from operating activities</t>
  </si>
  <si>
    <t>S-1 F-13</t>
  </si>
  <si>
    <t>of which change in deferred revenue</t>
  </si>
  <si>
    <t>Purchases of property and equipment (capex)</t>
  </si>
  <si>
    <t>Depreciation and amortisation</t>
  </si>
  <si>
    <t>Preferred stock issued for cash</t>
  </si>
  <si>
    <t>Free cash flow (OCF less capex)</t>
  </si>
  <si>
    <t>Derived. 'Free cash flow' is not an S-1 term</t>
  </si>
  <si>
    <t>Balance sheet (US$M)</t>
  </si>
  <si>
    <t>31-Dec-24</t>
  </si>
  <si>
    <t>31-Dec-25</t>
  </si>
  <si>
    <t>30-Jun-26</t>
  </si>
  <si>
    <t>Cash and cash equivalents</t>
  </si>
  <si>
    <t>Restricted cash</t>
  </si>
  <si>
    <t>Accounts receivable, net</t>
  </si>
  <si>
    <t>Total assets</t>
  </si>
  <si>
    <t>Convertible notes payable (fair value)</t>
  </si>
  <si>
    <t>Total liabilities</t>
  </si>
  <si>
    <t>Deferred revenue</t>
  </si>
  <si>
    <t>Amazon notes principal</t>
  </si>
  <si>
    <t>Finance-lease liabilities booked</t>
  </si>
  <si>
    <t>Remaining performance obligations (contracted revenue)</t>
  </si>
  <si>
    <t>Cash + short-term investments</t>
  </si>
  <si>
    <t>S-1 p.11: $131.7B at 30 Jun</t>
  </si>
  <si>
    <t>Cash + short-term + restricted</t>
  </si>
  <si>
    <t>Check: value per share from the model, by scenario</t>
  </si>
  <si>
    <t>Derived (scenario data table)</t>
  </si>
  <si>
    <t>Settlement price assumption less value per share ($)</t>
  </si>
  <si>
    <t>Price gap</t>
  </si>
  <si>
    <t>By hand: type a column's margin in Sensitivities E10, then Data &gt; What-If Analysis &gt; Goal Seek: set cell Sensitivities E13, to value = the target, by changing cell E9. Paste E9's value into the row below, then clear E9:E10. The replay table shows a residual if a pasted solve goes stale.</t>
  </si>
  <si>
    <t>US$M per US$B (unit conversion)</t>
  </si>
  <si>
    <t>Convention</t>
  </si>
  <si>
    <t>Historicals are in US$M; the model is in US$B.</t>
  </si>
  <si>
    <t>Quarters per year</t>
  </si>
  <si>
    <t>Used to annualise quarterly figures and for quarterly lease payments.</t>
  </si>
  <si>
    <t>Months per year</t>
  </si>
  <si>
    <t>SpaceXAI fees are monthly.</t>
  </si>
  <si>
    <t>Valuation date (decimal year; 31 Dec 2026)</t>
  </si>
  <si>
    <t>year</t>
  </si>
  <si>
    <t>All cash flows are discounted to this date. Mid-period discounting uses period midpoints less this date.</t>
  </si>
  <si>
    <t>IPO date (decimal year; ~mid-Nov 2026)</t>
  </si>
  <si>
    <t>Award settlement timing (Tax Schedule) is measured from this date.</t>
  </si>
  <si>
    <t>Glide index = fiscal year less this year.</t>
  </si>
  <si>
    <t>Mid-period convention (years after period start)</t>
  </si>
  <si>
    <t>years</t>
  </si>
  <si>
    <t>Cash flows arrive mid-year on average; the terminal value is placed on the same basis.</t>
  </si>
  <si>
    <t>Growth horizon for CAGRs (FY2026-FY2031, years)</t>
  </si>
  <si>
    <t>Five years from FY2026 to FY2031.</t>
  </si>
  <si>
    <t>H2 interest = 2 x Q2 2026 ($762M), as the cash balance is broadly flat into the IPO.</t>
  </si>
  <si>
    <t>Materiality threshold for flags (US$B)</t>
  </si>
  <si>
    <t>A floor 'binds', a case is 'financing-contingent', etc. only above $1M, so rounding noise never flags.</t>
  </si>
  <si>
    <t>His probability of failure</t>
  </si>
  <si>
    <t>His loss of value in failure</t>
  </si>
  <si>
    <t>Range applied to Amazon's holdings (+/-)</t>
  </si>
  <si>
    <t>Low confidence in the holdings estimate; the cap maths is shown at +/-10%.</t>
  </si>
  <si>
    <t>A. Compute commitments: deal terms (Compute Commitments links here)</t>
  </si>
  <si>
    <t>calc</t>
  </si>
  <si>
    <t>expect aggregate expenditures to exceed $20.0 billion'; option for about as much again (not modelled).</t>
  </si>
  <si>
    <t>A2. Inputs used in the deal table</t>
  </si>
  <si>
    <t>B. Cap table, securities and financing terms (Dilution Calcs links here)</t>
  </si>
  <si>
    <t>C. Reconciliation inputs (Reverse Valuation links here)</t>
  </si>
  <si>
    <t>Period start (decimal year; from the Inputs conventions)</t>
  </si>
  <si>
    <t>Broadcom leases capitalised (1/0; Treatment B)</t>
  </si>
  <si>
    <t>Broadcom rent reclassified out of compute (leases capitalised)</t>
  </si>
  <si>
    <t>ROU depreciation (= Broadcom principal; leases capitalised)</t>
  </si>
  <si>
    <t>Lease interest deductible (leases capitalised)</t>
  </si>
  <si>
    <t>Funding need this period (keeps the covenant)</t>
  </si>
  <si>
    <t>...drawn on the Broadcom notes</t>
  </si>
  <si>
    <t>...residual beyond the facility</t>
  </si>
  <si>
    <t>Liquidity after financing</t>
  </si>
  <si>
    <t>PV of note-draw cost (PIK, discounted conversion)</t>
  </si>
  <si>
    <t>PV of residual-financing cost (assumed terms)</t>
  </si>
  <si>
    <t>Less: PV of note-draw cost (dated, from the schedule)</t>
  </si>
  <si>
    <t>Less: PV of residual-financing cost (dated)</t>
  </si>
  <si>
    <t>Less: Broadcom lease liability at 31 Dec 2026 (leases capitalised; PV at the lease rate)</t>
  </si>
  <si>
    <t>B. Broadcom leases capitalised: equity (stress case 4)</t>
  </si>
  <si>
    <t>Capital cash flow method in the Model: rent out of compute, ROU depreciation = principal, interest deductible in the same tax schedule (NOLs and credits included), cash flows at the unlevered rate, lease liability (PV at 7.1%) deducted. Approximation: depreciation follows the principal profile.</t>
  </si>
  <si>
    <t>B. Broadcom finance leases capitalised: run through the Model as stress case 4 (Sensitivities B)</t>
  </si>
  <si>
    <t>Stress: years over which the rest settle (from FY2027)</t>
  </si>
  <si>
    <t>Stress schedule only.</t>
  </si>
  <si>
    <t>Post-June RSUs: vesting term</t>
  </si>
  <si>
    <t>Four-year service vesting, quarterly.</t>
  </si>
  <si>
    <t>Post-June RSUs: first vesting date (decimal year)</t>
  </si>
  <si>
    <t>Our est. on S-1 F-65</t>
  </si>
  <si>
    <t>Granted after 30 Jun 2026; first quarterly vest assumed in Q4 2026.</t>
  </si>
  <si>
    <t>Governance discount: sensitivity shown on the Summary</t>
  </si>
  <si>
    <t>Display only; the base uses the discount above (0%).</t>
  </si>
  <si>
    <t>Post-June RSUs vesting (quarterly over the vesting term)</t>
  </si>
  <si>
    <t>Check tolerances (inputs)</t>
  </si>
  <si>
    <t>Ties to S-1 figures in US$M (S-1 rounding)</t>
  </si>
  <si>
    <t>Reconciliations inside the model (US$B or M shares)</t>
  </si>
  <si>
    <t>Exact identities (floating-point noise only)</t>
  </si>
  <si>
    <t>Expected</t>
  </si>
  <si>
    <t>Tolerance</t>
  </si>
  <si>
    <t>Source of the expected figure</t>
  </si>
  <si>
    <t>S-1 p.25 / F-13: OCF 3,929 - capex 482</t>
  </si>
  <si>
    <t>S-1 p.13 anchor (M shares)</t>
  </si>
  <si>
    <t>S-1 F-51 to F-53 (M shares)</t>
  </si>
  <si>
    <t>S-1 p.13: 846.84M = 5% (billions of shares)</t>
  </si>
  <si>
    <t>S-1 p.283, F-47 ($589.0095 / 10)</t>
  </si>
  <si>
    <t>Goal Seek replay residual ($B)</t>
  </si>
  <si>
    <t>Price assumption vs value per share (%)</t>
  </si>
  <si>
    <t>Reverse: chain reproduces $2T low end 39.5%</t>
  </si>
  <si>
    <t>Reverse: chain reproduces $2T high end 59.7%</t>
  </si>
  <si>
    <t>Inputs: scenario selector is a valid scenario code</t>
  </si>
  <si>
    <t>Award settlement price at the IPO ($/sh)</t>
  </si>
  <si>
    <t>Unlevered free cash flow</t>
  </si>
  <si>
    <t>Less: Broadcom lease liability (case B only)</t>
  </si>
  <si>
    <t>Broadcom 2026 Lease: principal (from commencement)</t>
  </si>
  <si>
    <t>Broadcom 2026 Lease: interest (front-loaded)</t>
  </si>
  <si>
    <t>Broadcom other leases: principal (from commencement)</t>
  </si>
  <si>
    <t>Broadcom other leases: interest (front-loaded)</t>
  </si>
  <si>
    <t>Treatment B: same liquidity path as live</t>
  </si>
  <si>
    <t>Our est. (pricing date blank in S-1)</t>
  </si>
  <si>
    <t>Our est. = scenario value per share</t>
  </si>
  <si>
    <t>Derived: S-1 p.172 + F-35 7.1%</t>
  </si>
  <si>
    <t>Q4 2026 exit run-rate (Q4 x 4)</t>
  </si>
  <si>
    <t>Revenue FY2027</t>
  </si>
  <si>
    <t>All-compute margin FY2027 (1 - compute / revenue)</t>
  </si>
  <si>
    <t>All-compute margin FY2036 (long run)</t>
  </si>
  <si>
    <t>Committed compute floor FY2027</t>
  </si>
  <si>
    <t>Last fiscal year the floor binds</t>
  </si>
  <si>
    <t>Revenue FY2027 ($B)</t>
  </si>
  <si>
    <t>Midpoint of two rf-consistent estimates. Damodaran's 1 Oct implied ERP of 4.20% is a residual against his 5.29% T-bond rate (expected market return 9.49%); at our 4.94% rf the same market return needs 4.55%. Kroll recommends 5.0% (reaffirmed Sep 2026). Fernandez's 2025 survey: 5.5%. Range 4.5-5.0%.</t>
  </si>
  <si>
    <t>Share of operating value kept in distress (not an equity recovery rate). No published source; Damodaran also uses 50%. Sensitivity on DCF.</t>
  </si>
  <si>
    <t>Recovery sensitivity step (DCF, +/-)</t>
  </si>
  <si>
    <t>DCF shows equity at recovery 30% and 70%.</t>
  </si>
  <si>
    <t>Our est. on S-1 F-55</t>
  </si>
  <si>
    <t>21% federal + about 2% state. S-1 F-55 state net of federal: 3.6% (2023), 2.4% (2024), 0.1% (2025), distorted by valuation allowances. Large-cap tech effective rates sit below statutory. Range 21-25%.</t>
  </si>
  <si>
    <t>Our est. 5-15%: Class F holds 50.1% of the vote and re-sizes on new issuance (S-1 p.118); Class A 'generally will not be able to affect the outcome' (p.109). Damodaran says 'a much larger discount' but his sheet has none. Base 0%; Summary shows 10%.</t>
  </si>
  <si>
    <t>Our est. 5-15% (S-1 pp.109, 118)</t>
  </si>
  <si>
    <t>Distress recovery sensitivity (live case)</t>
  </si>
  <si>
    <t>Recovery: live less step</t>
  </si>
  <si>
    <t>...equity value</t>
  </si>
  <si>
    <t>Recovery: live plus step</t>
  </si>
  <si>
    <t>The haircut is linear in recovery: equity + EV x p x (recovery - live recovery).</t>
  </si>
  <si>
    <t>External: Kroll 5.0%; Damodaran 4.55%</t>
  </si>
  <si>
    <t>S-1/A p.175</t>
  </si>
  <si>
    <t>Non-cancellable; true-up. Apr 2026 - Jul 2033 (amended May-Oct 2026; was $114.5B in the S-1). Ramp 1.5 yrs (Our est.).</t>
  </si>
  <si>
    <t>Unnamed residual: contingent part (to the $213.8B)</t>
  </si>
  <si>
    <t>Unnamed residual: firm part (to the filed aggregate)</t>
  </si>
  <si>
    <t>Derived: S-1/A aggregate less named</t>
  </si>
  <si>
    <t>Contractual obligations table, 30 Sep 2026 ($B; purchase commitments + leases)</t>
  </si>
  <si>
    <t>S-1/A p.174</t>
  </si>
  <si>
    <t>Purchase commitments 313.8, operating leases 4.2, finance leases 2.0. By year: 2026 5.2; 2027 29.2; 2028 44.4; 2029 47.8; 2030 45.1; thereafter 148.4.</t>
  </si>
  <si>
    <t>Leases signed not yet commenced, 30 Sep 2026 ($B, undiscounted, so incl. interest)</t>
  </si>
  <si>
    <t>Was $321.4B at 30 Jun. Commence 2026-28; terms &lt;1 to 20 years, weighted average ~10 years.</t>
  </si>
  <si>
    <t>Commitments entered after 30 Sep 2026 ($B)</t>
  </si>
  <si>
    <t>Mainly data-centre leases and CSP hosting (Note 17).</t>
  </si>
  <si>
    <t>Aggregate committed spend, as filed ($B)</t>
  </si>
  <si>
    <t>Table + short-term + leases not commenced + after 30 Sep. Excludes $150-175B with no fixed $.</t>
  </si>
  <si>
    <t>...of which terminable or contingent before commencement ($B)</t>
  </si>
  <si>
    <t>Counterparty financing, facilities or approvals.</t>
  </si>
  <si>
    <t>...expected before 31 Dec 2030 ($B)</t>
  </si>
  <si>
    <t>Substantially all the rest in 2031-2045.</t>
  </si>
  <si>
    <t>...due in the 12 months after 30 Sep 2026 ($B)</t>
  </si>
  <si>
    <t>Of which $4.3B contingent.</t>
  </si>
  <si>
    <t>No-fixed-$ arrangements excluded (TPU, AMD), low-high ($B)</t>
  </si>
  <si>
    <t>150-175</t>
  </si>
  <si>
    <t>Additional TPU $125-150B + AMD &gt;$20B, as in the S-1.</t>
  </si>
  <si>
    <t>Contingent (Nscale, Lambda, contingent residual)</t>
  </si>
  <si>
    <t>Unnamed residual (firm)</t>
  </si>
  <si>
    <t>Contractual obligations table, 30 Sep 2026</t>
  </si>
  <si>
    <t>Leases signed not yet commenced, 30 Sep 2026</t>
  </si>
  <si>
    <t>Commitments entered after 30 Sep 2026</t>
  </si>
  <si>
    <t>Aggregate excl. short-term (Derived)</t>
  </si>
  <si>
    <t>Aggregate incl. short-term (Derived; S-1/A $895.4B)</t>
  </si>
  <si>
    <t>Ours</t>
  </si>
  <si>
    <t>S-1/A</t>
  </si>
  <si>
    <t>Ours / S-1/A</t>
  </si>
  <si>
    <t>Our schedule, Q4'26 to FY2030 ($B)</t>
  </si>
  <si>
    <t>Our schedule, next 12 months (Q4'26 + 3/4 of FY2027) ($B)</t>
  </si>
  <si>
    <t>Unnamed residual (firm part) taken up</t>
  </si>
  <si>
    <t>Commit: seven named deals = $643.8B</t>
  </si>
  <si>
    <t>Cost of equity sensitivity: prior base (stress case 5)</t>
  </si>
  <si>
    <t>Our choice (prior base)</t>
  </si>
  <si>
    <t>First forecast fiscal year (glide index 0 = Q4 2026)</t>
  </si>
  <si>
    <t>Linear glide from Q4 2026 (index 0) to the terminal level in FY2032 (index 6).</t>
  </si>
  <si>
    <t>Compute intensity excl. D&amp;A, Q4 2026 (demand compute / revenue)</t>
  </si>
  <si>
    <t>Personnel ex SBC, Q4 2026</t>
  </si>
  <si>
    <t>SBC (ongoing grants), Q4 2026</t>
  </si>
  <si>
    <t>Sales, marketing &amp; partnerships, Q4 2026</t>
  </si>
  <si>
    <t>From 2026 compute &amp; infrastructure includes finance-lease amortisation AND D&amp;A on owned data-centre assets (p.146); the S-1 does not split the $97M H1 D&amp;A by caption. Our est.: the $13M sits in compute, the other $84M in other op &amp; admin (p.147). Mis-allocation is bounded by 0.5% of revenue in Q4 2026.</t>
  </si>
  <si>
    <t>Other operating &amp; administrative excl. D&amp;A, Q4 2026</t>
  </si>
  <si>
    <t>D&amp;A excl. finance-lease amortisation, Q4 2026</t>
  </si>
  <si>
    <t>Capex, Q4 2026</t>
  </si>
  <si>
    <t>Share of remainder in Q4 2026 (Q4 only)</t>
  </si>
  <si>
    <t>Q4'26 = Q3 derived + Q4 estimate; FY27-FY36 projected. The only projection in the workbook: scenarios and sensitivities re-run it through data tables. Compute expense can never fall below the contracted floor (Compute Commitments sheet).</t>
  </si>
  <si>
    <t>Q4'26F</t>
  </si>
  <si>
    <t>Bridge: common items + Q4 2026 cash flow (pre-SBC)</t>
  </si>
  <si>
    <t>Common bridge total (Q4 2026 cash flow added per case)</t>
  </si>
  <si>
    <t>Plus: Q4 2026 cash flow before SBC (to 31 Dec 2026)</t>
  </si>
  <si>
    <t>Glide index (0 = Q4 2026)</t>
  </si>
  <si>
    <t>Deductible award value Q4'26-FY36 ($B)</t>
  </si>
  <si>
    <t>Q3'26A</t>
  </si>
  <si>
    <t>S-1 F-13, p.158; Q2'26 = H1 less Q1; Q3'26 = 9M (S-1/A p.?) less H1</t>
  </si>
  <si>
    <t>Non-cash charitable contributions (donation matching, in other op &amp; admin)</t>
  </si>
  <si>
    <t>S-1 p.25 (H1), S-1/A Adjusted Operating Income reconciliation (9M)</t>
  </si>
  <si>
    <t>9M'26A</t>
  </si>
  <si>
    <t>S-1 p.165; S-1/A p.168</t>
  </si>
  <si>
    <t>S-1 F-36; S-1/A F-36</t>
  </si>
  <si>
    <t>Quarters of Q3 2026 interest income in the Q4 2026 stub</t>
  </si>
  <si>
    <t>Q3 2026 revenue (actual)</t>
  </si>
  <si>
    <t>Actual: +46.7% QoQ. The S-1's '86 times Q4 2024' implied 16,942; the check on the Checks sheet compares them.</t>
  </si>
  <si>
    <t>Finance-lease amortisation in 9M 2026 (identified)</t>
  </si>
  <si>
    <t>Q3 2026 compute 9,863 / revenue 16,956 = 58.2% (Q2 48%, H1 55%). The step-up is $5.0B of short-term compute that 'currently costs significantly more' than multi-year compute (S-1/A p.139), and the company expects short-term use to increase near term. So Q4 starts at the Q3 actual and glides to the terminal level.</t>
  </si>
  <si>
    <t>Q3 2026: personnel 1,711 less SBC 1,070 (9M 3,255 less H1 2,185) = 641 = 3.8% of revenue.</t>
  </si>
  <si>
    <t>Q3 2026 SBC $1,070M = 6.3% of revenue (Q2 10.9%), before the performance-RSU expense at the IPO (memo below).</t>
  </si>
  <si>
    <t>Q3 2026: 2,361 / 16,956 = 13.9% (Q2 18.5%). CSP marketplaces were 44% of 9M 2026 revenue (S-1/A p.58; 48% in 9M 2025).</t>
  </si>
  <si>
    <t>Q3 2026 other op &amp; admin 3,588 less the 1,960 non-cash donation charge = 1,628 = 9.6% of revenue, less non-data-centre D&amp;A (9M basis).</t>
  </si>
  <si>
    <t>Derived, S-1/A F-statements (9M)</t>
  </si>
  <si>
    <t>9M 2026 D&amp;A less finance-lease amortisation, over 9M revenue.</t>
  </si>
  <si>
    <t>Derived, S-1/A (9M cash flow)</t>
  </si>
  <si>
    <t>9M 2026 capex / 9M revenue.</t>
  </si>
  <si>
    <t>S-1/A (non-GAAP reconciliation, 9M)</t>
  </si>
  <si>
    <t>9M 2026 interest income</t>
  </si>
  <si>
    <t>Intrinsic value of options exercised in 9M 2026</t>
  </si>
  <si>
    <t>9M 2026 taxable income proxy</t>
  </si>
  <si>
    <t>Federal NOL pool at 30 Sep 2026 (rolled forward)</t>
  </si>
  <si>
    <t>Cash and cash equivalents, 30 Sep 2026</t>
  </si>
  <si>
    <t>S-1/A balance sheet (30 Sep)</t>
  </si>
  <si>
    <t>Short-term investments, 30 Sep 2026</t>
  </si>
  <si>
    <t>Restricted cash, 30 Sep 2026</t>
  </si>
  <si>
    <t>Q3 2026 interest $1,248M x 4 / 30 Sep cash + short-term investments.</t>
  </si>
  <si>
    <t>Bartz settlement accrued at 30 Sep 2026, paid after</t>
  </si>
  <si>
    <t>S-1/A Note 13</t>
  </si>
  <si>
    <t>$450M in accrued liabilities at 30 Sep 2026 ($1.2B at 30 Jun).</t>
  </si>
  <si>
    <t>Donation-matching charge in Q4 2026 (memo; settled in shares)</t>
  </si>
  <si>
    <t>Q3 2026 was $1,960M (in the Q3 actual). No Q4 charge is assumed; GAAP memo only.</t>
  </si>
  <si>
    <t>FY2026E memo (9M actual + Q4 estimate)</t>
  </si>
  <si>
    <t>Plus: interest income Q4 2026 (1 x Q3 2026)</t>
  </si>
  <si>
    <t>Less: Bartz settlement accrued at 30 Sep, paid after</t>
  </si>
  <si>
    <t>Hist: Q3'26 actual agrees with '86 x Q4'24' (S-1 rounding)</t>
  </si>
  <si>
    <t>Hist: H1'26 + Q3'26 = 9M'26 (revenue, every cost line)</t>
  </si>
  <si>
    <t>Short-term commitments at 30 Sep 2026 ($B; term of a year or less)</t>
  </si>
  <si>
    <t>Minimum payments under contracts cancellable within a year or with a year or less to run. Mostly the SpaceXAI non-cancellable periods (to Jan/Mar 2027 + 90 days), which are scheduled as deals; only any excess is added.</t>
  </si>
  <si>
    <t>Short-term commitments entered after 30 Sep 2026 ($B)</t>
  </si>
  <si>
    <t>New short-term agreements (Note 17).</t>
  </si>
  <si>
    <t>$213.8B can be terminated or depends on conditions before commencement (counterparty financing, facilities, approvals). Nscale ($44.6B) and Lambda ($41.3B) explain $85.9B; the rest (~$128B) is taken to be data-centre leases not yet commenced (Anthropic Direct). Our est.: commence 2027-28, run to ~2042.</t>
  </si>
  <si>
    <t>Weighted-average discount rate on existing finance leases at 30 Sep 2026 (7.1% at 30 Jun). Proxy for the Broadcom lease rate.</t>
  </si>
  <si>
    <t>Short-term commitments not already in a deal row</t>
  </si>
  <si>
    <t>Short-term commitments at 30 Sep 2026</t>
  </si>
  <si>
    <t>Calibration to the S-1/A timing (100% of every deal in the filed aggregate: excl. price-unset TPU/AMD and SpaceXAI cancellable)</t>
  </si>
  <si>
    <t>Cumulative expense if the IPO had happened on 30 Sep 2026 ($2.9B at 30 Jun).</t>
  </si>
  <si>
    <t>Over ~2.0 years ($23.7B at 30 Jun).</t>
  </si>
  <si>
    <t>9M 2026: subscription $6,936M of $33,242M = 20.9%; consumption 79%.</t>
  </si>
  <si>
    <t>RSUs granted after 30 Jun 2026 (net, to the S-1/A)</t>
  </si>
  <si>
    <t>RSUs at 30 Sep 1,128.0M less 30 Jun 1,049.6M (net of forfeits; none vested), plus ~47M granted after 30 Sep. The cap table stays on the 30 Jun anchor basis (the S-1/A's fully diluted table is still blank).</t>
  </si>
  <si>
    <t>Commit: schedule to FY2030 within 10% of S-1/A $447.5B</t>
  </si>
  <si>
    <t>Commit: next-12-month schedule within 10% of S-1/A $69.8B</t>
  </si>
  <si>
    <t>Contingent commitments taken up</t>
  </si>
  <si>
    <t>9M 2026 Adjusted operating income</t>
  </si>
  <si>
    <t>Commit: all deals = filed total + TPU/AMD + SpaceXAI cancellable</t>
  </si>
  <si>
    <t>Tax: post-June RSUs and option exercises fully scheduled</t>
  </si>
  <si>
    <t>Leases cap.</t>
  </si>
  <si>
    <t>...of which serving (cost of revenue), Q4 2026</t>
  </si>
  <si>
    <t>Q3 2026 cost of revenue 2,432 (9M 4,812 less H1 2,380) / revenue 16,956 = 14.3% (H1 14.6%). Training, research and internal use is the rest (43.9%).</t>
  </si>
  <si>
    <t>Goal Seek set cell: live equity ($B)</t>
  </si>
  <si>
    <t>Replay: equity at the pasted training share ($B)</t>
  </si>
  <si>
    <t>Serving share of demand compute (glide ratio)</t>
  </si>
  <si>
    <t>Revenue FY2026E (9M actual + Q4 est.)</t>
  </si>
  <si>
    <t>EBIT FY2027 (after SBC)</t>
  </si>
  <si>
    <t>EBIT margin FY2027</t>
  </si>
  <si>
    <t>FY2027 break-even revenue if compute = floor</t>
  </si>
  <si>
    <t>FY2027 break-even revenue if compute = floor ($B)</t>
  </si>
  <si>
    <t>S-1/A p.173</t>
  </si>
  <si>
    <t>Our est. on S-1/A p.160</t>
  </si>
  <si>
    <t>S-1/A p.160</t>
  </si>
  <si>
    <t>Derived, S-1/A p.160</t>
  </si>
  <si>
    <t>S-1/A F-26</t>
  </si>
  <si>
    <t>Derived, S-1/A F-39, p.160</t>
  </si>
  <si>
    <t>S-1/A F-34</t>
  </si>
  <si>
    <t>Our est. on S-1/A p.173</t>
  </si>
  <si>
    <t>S-1/A F-51</t>
  </si>
  <si>
    <t>Derived, S-1/A p.160, balance sheet</t>
  </si>
  <si>
    <t>S-1/A p.66, F-52</t>
  </si>
  <si>
    <t>Derived: S-1/A p.173</t>
  </si>
  <si>
    <t>Filed aggregate less every named deal, Broadcom interest, the contingent residual and short-term. The aggregate counts SpaceXAI only for its non-cancellable periods: of the $69.8B due in 12 months only $4.3B is contingent, which cannot hold ~$20B of cancellable SpaceXAI payments. S-1/A p.139: $447.5B before end-2030, the rest 2031-2045.</t>
  </si>
  <si>
    <t>S-1/A pp.139, 173</t>
  </si>
  <si>
    <t>S-1/A p.139</t>
  </si>
  <si>
    <t>S-1/A pp.173-174</t>
  </si>
  <si>
    <t>S-1/A p.139: $447.5B before 31 Dec 2030</t>
  </si>
  <si>
    <t>S-1/A p.174: $69.8B in the 12 months after 30 Sep</t>
  </si>
  <si>
    <t>Hist: cash + ST investments 30 Sep 2026 = $131.9B (S-1/A p.139)</t>
  </si>
  <si>
    <t>S-1/A p.139: $95.6B + $36.3B, each rounded to $0.1B (F-5: 95,562 + 36,283)</t>
  </si>
  <si>
    <t>S-1/A p.160 vs S-1 p.184, p.64</t>
  </si>
  <si>
    <t>S-1/A p.139 (ratio of our 100% schedule to the filed figure)</t>
  </si>
  <si>
    <t>S-1/A p.174 (ratio of our 100% schedule to the filed figure)</t>
  </si>
  <si>
    <t>S-1 p.23, p.158; S-1/A p.160 (Q3'26)</t>
  </si>
  <si>
    <t>S-1 p.23, p.158 (F-38: share-purchase agreement marks); S-1/A p.160 (Q3'26)</t>
  </si>
  <si>
    <t>S-1 F-6; S-1/A F-5 (30 Sep)</t>
  </si>
  <si>
    <t>S-1 F-6; S-1/A F-5 (30 Sep; incl. $50M current)</t>
  </si>
  <si>
    <t>S-1 F-27; S-1/A F-26 ($13.8B)</t>
  </si>
  <si>
    <t>S-1/A F-58, F-65</t>
  </si>
  <si>
    <t>S-1/A pp.174-175</t>
  </si>
  <si>
    <t>S-1/A pp.174-176 (Google $121.3B; S-1 $637.0B)</t>
  </si>
  <si>
    <t>Mostly the $2.5B Broadcom lease escrow (S-1/A F-63).</t>
  </si>
  <si>
    <t>Fixed-cost dollar growth, a year (personnel ex SBC, SBC, fixed overheads)</t>
  </si>
  <si>
    <t>Same in every scenario. Q3 2026 personnel ex SBC was +7.6% QoQ (596 to 641) and 3.5x a year earlier (184); SBC fell QoQ (1,261 to 1,070). +50% a year (~+11% a quarter) sits between the two. Revenue grows faster, which is the operating leverage.</t>
  </si>
  <si>
    <t>Fixed share of other operating &amp; administrative (ex D&amp;A)</t>
  </si>
  <si>
    <t>Our est. on S-1/A pp.148, 152</t>
  </si>
  <si>
    <t>Named 9M 2026 increases ex donations: data vendors 757, professional services 428, IT and cloud software 407 (semi-fixed, $1.59B) vs payment processing 435 (variable): 79% fixed, rounded to 75% as bad debt and non-income taxes (variable) are not quantified.</t>
  </si>
  <si>
    <t>Last year non-compute costs follow the fixed-dollar path (glide index; 1 = FY2027)</t>
  </si>
  <si>
    <t>Q4 2026 and FY2027 fixed costs are the same dollars in every scenario. From FY2028 they move linearly to the terminal % of revenue, reached at the glide horizon (FY2032): 20% of the way a year.</t>
  </si>
  <si>
    <t>Non-compute costs: fixed vs variable (feeds rows 45-52 and 124)</t>
  </si>
  <si>
    <t>Fixed-cost weight (1 = fixed-dollar path; 0 = terminal % of revenue)</t>
  </si>
  <si>
    <t>Fixed-dollar index (Q3 2026 annualised = 1; x period length)</t>
  </si>
  <si>
    <t>Personnel ex SBC: fixed-dollar path</t>
  </si>
  <si>
    <t>SBC: fixed-dollar path</t>
  </si>
  <si>
    <t>Other op &amp; admin: fixed part, dollar path</t>
  </si>
  <si>
    <t>Other op &amp; admin: variable part, % of revenue (glide)</t>
  </si>
  <si>
    <t>Fixed non-compute costs (personnel ex SBC, SBC, fixed overheads)</t>
  </si>
  <si>
    <t>Variable non-compute costs, % of revenue (SM&amp;P, variable overheads, D&amp;A)</t>
  </si>
  <si>
    <t>Other operating costs (personnel, SBC, fixed overheads: fixed dollars to FY2027, then to terminal %; rows 141-149)</t>
  </si>
  <si>
    <t>Break-even revenue if compute = floor (fixed costs / (1 - variable %))</t>
  </si>
  <si>
    <t>Fixed non-compute costs FY2027 ($B)</t>
  </si>
  <si>
    <t>Variable non-compute costs FY2027 (% of revenue)</t>
  </si>
  <si>
    <t>Fixed/variable split: FY2036 cost ratios = terminal inputs</t>
  </si>
  <si>
    <t>Fixed weight is 0 from the glide horizon</t>
  </si>
  <si>
    <t>FY27 growth</t>
  </si>
  <si>
    <t>$1.5T: implied FY27 growth at the solution</t>
  </si>
  <si>
    <t>$2T: implied FY27 growth at the solution</t>
  </si>
  <si>
    <t>Terminal growth fade after FY2036 (years, 0-10)</t>
  </si>
  <si>
    <t>Cash and cash equivalents (30 Sep 2026)</t>
  </si>
  <si>
    <t>Fade year</t>
  </si>
  <si>
    <t>Growth (linear fade from FY2036 to terminal)</t>
  </si>
  <si>
    <t>PV (fade years only)</t>
  </si>
  <si>
    <t>PV of fade-period FCF</t>
  </si>
  <si>
    <t>FCF in the first year after the fade</t>
  </si>
  <si>
    <t>PV of value after the fade</t>
  </si>
  <si>
    <t>PV of terminal value (fade + perpetuity)</t>
  </si>
  <si>
    <t>Funding need to keep the $5B covenant ($B)</t>
  </si>
  <si>
    <t>...drawn on the Broadcom notes (up to $42B) ($B)</t>
  </si>
  <si>
    <t>Revenue FY2031 ($B)</t>
  </si>
  <si>
    <t>Beta, mature (FY2036 and the terminal value)</t>
  </si>
  <si>
    <t>Cumulative discount factor to period end</t>
  </si>
  <si>
    <t>Cost of equity, mature (CAPM, beta 1.0)</t>
  </si>
  <si>
    <t>Cost of equity, mature</t>
  </si>
  <si>
    <t>Plan case: live equity (Goal Seek set cell; equals the plan only while the case driver = 7)</t>
  </si>
  <si>
    <t>Revenue FY2028 ($B)</t>
  </si>
  <si>
    <t>Plan case</t>
  </si>
  <si>
    <t>Equity ($B)</t>
  </si>
  <si>
    <t>Per share ($)</t>
  </si>
  <si>
    <t>Base (house view) for comparison</t>
  </si>
  <si>
    <t>If the plan case's FY2028 sits well outside $190-200B, the two External targets are not mutually consistent on our costs.</t>
  </si>
  <si>
    <t>Stress table, plan column (Goal Seek replay)</t>
  </si>
  <si>
    <t>Mature CoE 10.19%</t>
  </si>
  <si>
    <t>Demand plateau</t>
  </si>
  <si>
    <t>Commoditisation</t>
  </si>
  <si>
    <t>Share loss</t>
  </si>
  <si>
    <t>Scenario code</t>
  </si>
  <si>
    <t>US slots, 2025</t>
  </si>
  <si>
    <t>m</t>
  </si>
  <si>
    <t>Research (BLS OEWS May 2025)</t>
  </si>
  <si>
    <t>SOC groups 11,13,15,17,19,21,23,25,27,29,43 (ISCO 1-4 map). Sales (SOC 41) excluded.</t>
  </si>
  <si>
    <t>Core slots, 2025 (US + rest of core)</t>
  </si>
  <si>
    <t>Research (ILOSTAT; BLS)</t>
  </si>
  <si>
    <t>Core = US, CA, UK, EU-27, NO, IS, CH, AU, NZ, JP, KR, SG, IL, TW. All Anthropic-supported.</t>
  </si>
  <si>
    <t>Rest-of-core slots, 2025</t>
  </si>
  <si>
    <t>US wage bill, 2025</t>
  </si>
  <si>
    <t>Research (BLS OEWS)</t>
  </si>
  <si>
    <t>73.72m x $92,021 mean.</t>
  </si>
  <si>
    <t>Core wage bill, 2025</t>
  </si>
  <si>
    <t>Research (ILOSTAT; proxies flagged)</t>
  </si>
  <si>
    <t>+/-15% by country; six proxy countries are ~16% of the core.</t>
  </si>
  <si>
    <t>US mean wage, 2025</t>
  </si>
  <si>
    <t>Rest-of-core mean wage, 2025</t>
  </si>
  <si>
    <t>61% of the US: R3 (a % of wage) is cheaper per slot there.</t>
  </si>
  <si>
    <t>Slot growth, a year</t>
  </si>
  <si>
    <t>Labour-force growth; no source extracted. Slots never shrink when AI displaces work.</t>
  </si>
  <si>
    <t>Nominal wage and rung-price growth, a year</t>
  </si>
  <si>
    <t>With slot growth ~4.0%, close to the IMF's 4.6% core nominal USD GDP CAGR 2025-30 (Research).</t>
  </si>
  <si>
    <t>Core population, 2025</t>
  </si>
  <si>
    <t>Our est. (UN-type totals, rounded; not extracted)</t>
  </si>
  <si>
    <t>Used only for the spend-per-head check.</t>
  </si>
  <si>
    <t>Population growth, a year</t>
  </si>
  <si>
    <t>Non-core share of Anthropic's international revenue</t>
  </si>
  <si>
    <t>Second tier (Gulf, India, Brazil, Mexico) and rest of world. Carried as a ratio to core revenue, calibrated to 2026.</t>
  </si>
  <si>
    <t>R1 standard seat (Pro-class), price</t>
  </si>
  <si>
    <t>USD/mo</t>
  </si>
  <si>
    <t>Research (claude.com/pricing, 4 Nov 2026)</t>
  </si>
  <si>
    <t>Pro $20; Team standard $20-25; Enterprise $20 seat plus usage. Subscription channel.</t>
  </si>
  <si>
    <t>R2 power seat (Max-class), price</t>
  </si>
  <si>
    <t>Research (claude.com/pricing)</t>
  </si>
  <si>
    <t>Max $100, Ultra $200; Team premium $100-125. Subscription channel.</t>
  </si>
  <si>
    <t>R3 agent-heavy pay-per-use, 2026 (% of the slot's wage)</t>
  </si>
  <si>
    <t>Research (inference)</t>
  </si>
  <si>
    <t>US consumption ~$35/slot/mo; if mostly from ~5m computer/maths slots, ~$500/mo = 6-7% of wage. Consumption channel; no list price.</t>
  </si>
  <si>
    <t>US revenue, 9M 2026</t>
  </si>
  <si>
    <t>Filing (S-1/A note 2, revenue by geography)</t>
  </si>
  <si>
    <t>International revenue, 9M 2026</t>
  </si>
  <si>
    <t>Filing (S-1/A note 2)</t>
  </si>
  <si>
    <t>Sum = 9M revenue $33,242M.</t>
  </si>
  <si>
    <t>US share of revenue</t>
  </si>
  <si>
    <t>70.6%; assumed for FY2026E.</t>
  </si>
  <si>
    <t>Consumption share of revenue</t>
  </si>
  <si>
    <t>Filing (S-1/A p.140, F-26)</t>
  </si>
  <si>
    <t>Assumed the same in each region (no regional split disclosed).</t>
  </si>
  <si>
    <t>C. Anthropic share of subscription spend, 2026</t>
  </si>
  <si>
    <t>Anthropic subscriptions vs market subscriptions.</t>
  </si>
  <si>
    <t>D. Tier-1 share of consumption spend, 2026</t>
  </si>
  <si>
    <t>Research (low confidence)</t>
  </si>
  <si>
    <t>Tier 1 = Mythos/Fable + Opus class. OpenRouter is the only tier data (a developer channel).</t>
  </si>
  <si>
    <t>E. Anthropic share of tier-1 spend, 2026</t>
  </si>
  <si>
    <t>Research (60-70%; low confidence)</t>
  </si>
  <si>
    <t>F. Anthropic share of tier-2/3 spend, 2026</t>
  </si>
  <si>
    <t>Research (40-45%; low confidence)</t>
  </si>
  <si>
    <t>Memo: Anthropic FY2025 revenue</t>
  </si>
  <si>
    <t>Filing</t>
  </si>
  <si>
    <t>For the implied-lag report only (US share assumed as in 2026).</t>
  </si>
  <si>
    <t>Non-core revenue / core revenue</t>
  </si>
  <si>
    <t>Held in every year.</t>
  </si>
  <si>
    <t>US slots, 2026</t>
  </si>
  <si>
    <t>Rest-of-core slots, 2026</t>
  </si>
  <si>
    <t>US monthly wage, 2026</t>
  </si>
  <si>
    <t>Rest-of-core monthly wage, 2026</t>
  </si>
  <si>
    <t>Anthropic share of consumption spend, 2026 (D x E + (1 - D) x F)</t>
  </si>
  <si>
    <t>Derived (solve)</t>
  </si>
  <si>
    <t>Anthropic US revenue per US slot, 2025</t>
  </si>
  <si>
    <t>Derived (US share assumed)</t>
  </si>
  <si>
    <t>A. R1 share of US slots, 2036</t>
  </si>
  <si>
    <t>Q1 demand.</t>
  </si>
  <si>
    <t>A. R2 share of US slots, 2036</t>
  </si>
  <si>
    <t>A. R3 share of US slots, 2036</t>
  </si>
  <si>
    <t>A. R3 price, 2036 (% of the slot's wage)</t>
  </si>
  <si>
    <t>Midpoint year (half the 2026-36 move done)</t>
  </si>
  <si>
    <t>C. Anthropic share of subscription spend, 2036</t>
  </si>
  <si>
    <t>Q3 position.</t>
  </si>
  <si>
    <t>D. Tier-1 share of consumption spend, 2036</t>
  </si>
  <si>
    <t>Q2: does the frontier keep its premium?</t>
  </si>
  <si>
    <t>E. Anthropic share of tier-1 spend, 2036</t>
  </si>
  <si>
    <t>F. Anthropic share of tier-2/3 spend, 2036</t>
  </si>
  <si>
    <t>Serving intensity, tier-1 consumption, 2036 (% of stream revenue)</t>
  </si>
  <si>
    <t>Serving intensity, tier-2/3 consumption, 2036</t>
  </si>
  <si>
    <t>Serving intensity, subscriptions, 2036</t>
  </si>
  <si>
    <t>G. Long-run training share of revenue (reached 2036)</t>
  </si>
  <si>
    <t>Public Benefit top-ups to 2036 (count)</t>
  </si>
  <si>
    <t>Award settlement price at the IPO (assumption = scenario value per share)</t>
  </si>
  <si>
    <t>Training, research and internal compute, 2026 (annualised)</t>
  </si>
  <si>
    <t>Derived, S-1/A F-39 / p.160</t>
  </si>
  <si>
    <t>9M 2026 compute 18,808 less cost of revenue 4,812 = 13,996, annualised. Non-serving compute; R&amp;D is not split further in the filing.</t>
  </si>
  <si>
    <t>Training growth, FY2027</t>
  </si>
  <si>
    <t>R&amp;D grew 3-5x a year 2023-26; frontier training runs 2.4x a year (Epoch AI, 2024).</t>
  </si>
  <si>
    <t>Training growth, FY2028</t>
  </si>
  <si>
    <t>Revenue Engine: knowledge-work slots x spend per slot (rung ladder) x Anthropic capture; serving and training compute</t>
  </si>
  <si>
    <t>Live parameters (after overrides)</t>
  </si>
  <si>
    <t>R1 share, 2036</t>
  </si>
  <si>
    <t>R2 share, 2036</t>
  </si>
  <si>
    <t>Midpoint year (Model F12)</t>
  </si>
  <si>
    <t>C. Subscription share, 2036</t>
  </si>
  <si>
    <t>D. Tier-1 share of consumption, 2036</t>
  </si>
  <si>
    <t>E. Anthropic tier-1 share, 2036</t>
  </si>
  <si>
    <t>F. Anthropic tier-2/3 share, 2036</t>
  </si>
  <si>
    <t>Serving intensity, tier-1, 2036 (Model F32)</t>
  </si>
  <si>
    <t>Serving intensity, tier-2/3, 2036</t>
  </si>
  <si>
    <t>G. Long-run training share (Model F14)</t>
  </si>
  <si>
    <t>Serving intensity start (Q3 2026 cost of revenue / revenue)</t>
  </si>
  <si>
    <t>Years to glide (cost engine)</t>
  </si>
  <si>
    <t>Annual engine</t>
  </si>
  <si>
    <t>Fiscal year</t>
  </si>
  <si>
    <t>0-1</t>
  </si>
  <si>
    <t>US slots</t>
  </si>
  <si>
    <t>Rest-of-core slots</t>
  </si>
  <si>
    <t>US monthly wage</t>
  </si>
  <si>
    <t>Rest-of-core monthly wage</t>
  </si>
  <si>
    <t>Rung price index (2026 = 1)</t>
  </si>
  <si>
    <t>US share on R1 ($20 seat)</t>
  </si>
  <si>
    <t>US share on R2 ($150 power seat)</t>
  </si>
  <si>
    <t>US share on R3 (agent-heavy, % of wage)</t>
  </si>
  <si>
    <t>US share on R0 (no paid AI)</t>
  </si>
  <si>
    <t>R3 price (% of wage)</t>
  </si>
  <si>
    <t>C. Anthropic share of subscription spend</t>
  </si>
  <si>
    <t>D. Tier-1 share of consumption spend</t>
  </si>
  <si>
    <t>E. Anthropic share of tier 1</t>
  </si>
  <si>
    <t>F. Anthropic share of tiers 2/3</t>
  </si>
  <si>
    <t>Anthropic share of consumption spend (tier blend)</t>
  </si>
  <si>
    <t>Tier 1 in Anthropic's consumption revenue</t>
  </si>
  <si>
    <t>US market subscription spend per slot</t>
  </si>
  <si>
    <t>US market consumption spend per slot</t>
  </si>
  <si>
    <t>US market spend per slot</t>
  </si>
  <si>
    <t>...in 2026 dollars</t>
  </si>
  <si>
    <t>Rest-of-core subscription spend per slot</t>
  </si>
  <si>
    <t>Rest-of-core consumption spend per slot</t>
  </si>
  <si>
    <t>Market: US subscriptions</t>
  </si>
  <si>
    <t>Market: US consumption</t>
  </si>
  <si>
    <t>Market: rest-of-core subscriptions</t>
  </si>
  <si>
    <t>Market: rest-of-core consumption</t>
  </si>
  <si>
    <t>Core market: spend on AI models</t>
  </si>
  <si>
    <t>Baseline core wage bill</t>
  </si>
  <si>
    <t>No AI effect on employment (slots never shrink).</t>
  </si>
  <si>
    <t>Market spend as % of the wage bill</t>
  </si>
  <si>
    <t>Market spend per head of core population</t>
  </si>
  <si>
    <t>USD/yr</t>
  </si>
  <si>
    <t>Anthropic: US subscriptions</t>
  </si>
  <si>
    <t>Anthropic: US consumption</t>
  </si>
  <si>
    <t>Anthropic: rest-of-core subscriptions</t>
  </si>
  <si>
    <t>Anthropic: rest-of-core consumption</t>
  </si>
  <si>
    <t>Anthropic: non-core (ratio to core)</t>
  </si>
  <si>
    <t>Anthropic revenue</t>
  </si>
  <si>
    <t>...US</t>
  </si>
  <si>
    <t>...international (rest of core + non-core)</t>
  </si>
  <si>
    <t>...subscriptions</t>
  </si>
  <si>
    <t>...consumption</t>
  </si>
  <si>
    <t>......tier-1 consumption</t>
  </si>
  <si>
    <t>......tier-2/3 consumption</t>
  </si>
  <si>
    <t>Anthropic share of the core market</t>
  </si>
  <si>
    <t>Glide weight (0 in 2026; 1 at the end of the cost glide)</t>
  </si>
  <si>
    <t>Serving intensity: tier-1 consumption</t>
  </si>
  <si>
    <t>Serving intensity: tier-2/3 consumption</t>
  </si>
  <si>
    <t>Serving intensity: subscriptions</t>
  </si>
  <si>
    <t>Serving compute (cost of revenue)</t>
  </si>
  <si>
    <t>Serving compute, % of revenue (blend)</t>
  </si>
  <si>
    <t>Training, research and internal compute (dollar budget)</t>
  </si>
  <si>
    <t>Training, % of revenue</t>
  </si>
  <si>
    <t>Demand compute (serving + training)</t>
  </si>
  <si>
    <t>Model: compute = MAX(this, commitment floor).</t>
  </si>
  <si>
    <t>Year training reaches its long-run share G (linear share glide from FY2028)</t>
  </si>
  <si>
    <t>Midpoint year of the 2026-36 move (live)</t>
  </si>
  <si>
    <t>Long-run training share G (live; terminal-margin overrides solve it)</t>
  </si>
  <si>
    <t>Serving intensity, tier-1 consumption, 2036 (live)</t>
  </si>
  <si>
    <t>Long-run growth anchor (memo; terminal growth)</t>
  </si>
  <si>
    <t>Revenue (Q4 2026 stub; FY2027 on from the Revenue Engine)</t>
  </si>
  <si>
    <t>Compute intensity (demand: serving + training budget, / revenue)</t>
  </si>
  <si>
    <t>Demand-driven compute (Revenue Engine: serving by stream + training $ budget)</t>
  </si>
  <si>
    <t>Plateau</t>
  </si>
  <si>
    <t>Demand plateau: settlement price path</t>
  </si>
  <si>
    <t>Demand plateau: deductible award value</t>
  </si>
  <si>
    <t>Frontier leader: settlement price path</t>
  </si>
  <si>
    <t>Frontier leader: deductible award value</t>
  </si>
  <si>
    <t>n.a.</t>
  </si>
  <si>
    <t>Revenue FY2036 ($B)</t>
  </si>
  <si>
    <t>US market spend per slot, 2036 (2026$ / month)</t>
  </si>
  <si>
    <t>Core market spend on AI models, 2036 ($B)</t>
  </si>
  <si>
    <t>Market spend as % of the wage bill, 2036</t>
  </si>
  <si>
    <t>Anthropic share of the core market, 2036</t>
  </si>
  <si>
    <t>Long-run EBIT margin after SBC (FY2036)</t>
  </si>
  <si>
    <t>Serving compute, % of revenue (FY2036)</t>
  </si>
  <si>
    <t>Training compute, % of revenue (FY2036)</t>
  </si>
  <si>
    <t>EBIT FY2027, after SBC ($B)</t>
  </si>
  <si>
    <t>Lowest liquidity before new financing ($B)</t>
  </si>
  <si>
    <t>Need beyond the $42B facility ($B; &gt;0 = financing-contingent)</t>
  </si>
  <si>
    <t>Subscriptions, % of revenue (FY2036)</t>
  </si>
  <si>
    <t>Revenue CAGR FY2026-36</t>
  </si>
  <si>
    <t>Revenue Engine check row</t>
  </si>
  <si>
    <t>Financing: base and live cases need no money beyond the $42B facility</t>
  </si>
  <si>
    <t>Compute split: value per share by long-run training share G (rows) and tier-1 serving intensity 2036 (columns)</t>
  </si>
  <si>
    <t>Data-table driver: tier-1 serving intensity 2036 (leave blank)</t>
  </si>
  <si>
    <t>Data-table driver: long-run training share G (leave blank)</t>
  </si>
  <si>
    <t>Training G (rows) / tier-1 serving (columns) -&gt;</t>
  </si>
  <si>
    <t>Long-run training share G for $1.5T equity (tier-1 serving at base)</t>
  </si>
  <si>
    <t>Midpoint-year sensitivity, probability-weighted value, plan case and market cross-check</t>
  </si>
  <si>
    <t>Data-table driver: midpoint year (leave blank)</t>
  </si>
  <si>
    <t>Midpoint year (half the 2026-36 move done) -&gt;</t>
  </si>
  <si>
    <t>Settlement price = value per share, floored at $0.01 (5 scenarios)</t>
  </si>
  <si>
    <t>Goal Seek run 04 Nov 2026 (pasted values). If inputs change, re-run it: the residual rows below show any drift.</t>
  </si>
  <si>
    <t>R3 share, 2036</t>
  </si>
  <si>
    <t>R3 price</t>
  </si>
  <si>
    <t>$1.5T: required US R3 price 2036, % of wage (Goal Seek, pasted)</t>
  </si>
  <si>
    <t>$2T: required US R3 price 2036, % of wage (Goal Seek, pasted)</t>
  </si>
  <si>
    <t>R3 price 2036</t>
  </si>
  <si>
    <t>Summary: $1.5T training-share solve replays within $0.5B (or is reported infeasible)</t>
  </si>
  <si>
    <t>Terminal EBIT margin -&gt; (pasted at the Goal Seek run from Sensitivities I65:M65)</t>
  </si>
  <si>
    <t>US</t>
  </si>
  <si>
    <t>International (rest of core + non-core)</t>
  </si>
  <si>
    <t>Consumption</t>
  </si>
  <si>
    <t>Subscriptions</t>
  </si>
  <si>
    <t>R3 price 2026 (% of wage) / $ per month</t>
  </si>
  <si>
    <t>Anthropic 2026 shares: subscriptions C / consumption blend / core market</t>
  </si>
  <si>
    <t>Core market spend 2026 ($B) / % of the wage bill</t>
  </si>
  <si>
    <t>Calibration point: Q4 2026 exit run-rate (Q4 revenue x 4)</t>
  </si>
  <si>
    <t>Filing + Our est. (Model F136)</t>
  </si>
  <si>
    <t>Anthropic US revenue, exit 2026 (annualised)</t>
  </si>
  <si>
    <t>Anthropic rest-of-core revenue, exit 2026 (annualised)</t>
  </si>
  <si>
    <t>Anthropic non-core revenue, exit 2026 (annualised)</t>
  </si>
  <si>
    <t>Anthropic US revenue per US slot, exit 2026</t>
  </si>
  <si>
    <t>Anthropic rest-of-core revenue per slot, exit 2026</t>
  </si>
  <si>
    <t>R2 share of US slots, exit 2026 (solved)</t>
  </si>
  <si>
    <t>R3 share of US slots, exit 2026 (solved)</t>
  </si>
  <si>
    <t>US market spend per slot, exit 2026</t>
  </si>
  <si>
    <t>IMPLIED, not sourced: x 74m US slots = heavy R3 slots, above the ~5m BLS computer/maths slots. Acceptable: consumption includes apps built on Claude used by non-developers.</t>
  </si>
  <si>
    <t>Years from the Q4 2026 exit point to the FY2036 mid-year (T)</t>
  </si>
  <si>
    <t>Progress toward 2036 endpoints, US (0 at the Q4 2026 exit; FY t at mid-year)</t>
  </si>
  <si>
    <t>Column F = Q4 2026 exit state, annualised (ties to Q4 x 4). FY2026 itself = actuals + Q4 stub (Model F134). Feeds Model row 35 from FY2027.</t>
  </si>
  <si>
    <t>Model row 36</t>
  </si>
  <si>
    <t>Engine: exit-2026 calibration ties within $0.1B (total, US, international, consumption, subscription)</t>
  </si>
  <si>
    <t>Revenue, Q4 2026 x 4</t>
  </si>
  <si>
    <t>Implied exit-2026 US mix: R0 / R1 / R2 / R3 (R3 implied, not sourced)</t>
  </si>
  <si>
    <t>US market spend per slot, exit 2026 ($/month)</t>
  </si>
  <si>
    <t>Anthropic revenue per slot, exit 2026, US / rest of core ($/month)</t>
  </si>
  <si>
    <t>R0 (no paid AI) share of US slots at the Q4 2026 exit (held; R1, R2, R3 solved)</t>
  </si>
  <si>
    <t>Solves subscription spend per slot with R1 + R2 = 1 - R0 - R3.</t>
  </si>
  <si>
    <t>R1 share of US slots, exit 2026 (solved)</t>
  </si>
  <si>
    <t>Rest-of-core share of core revenue at the Q4 2026 exit</t>
  </si>
  <si>
    <t>26.1% of core = 29.4% international of total, less the non-core part. The path runs from here to the 2036 input on the shared progress curve.</t>
  </si>
  <si>
    <t>Reference ceiling: rest-of-core wage as a % of the US wage (not a driver)</t>
  </si>
  <si>
    <t>Memo: implied rest-of-core lag at the exit, years (no longer an input)</t>
  </si>
  <si>
    <t>Rest-of-core share of core revenue, 2036</t>
  </si>
  <si>
    <t>Rest-of-core market spend per slot (implied output)</t>
  </si>
  <si>
    <t>Rest-of-core spend per slot, 2026 dollars (implied)</t>
  </si>
  <si>
    <t>Rest-of-core spend per slot as % of the US (ceiling ~61%, reference)</t>
  </si>
  <si>
    <t>US revenue growth</t>
  </si>
  <si>
    <t>Revenue growth, annualised run-rate basis (FY2027: from the Q4 2026 exit over 0.625 years)</t>
  </si>
  <si>
    <t>Check: US rung shares in [0,100%]; rest-of-core share below 100% (1 = ok)</t>
  </si>
  <si>
    <t>Annual revenue growth never widens on either basis, FY2027-36 (fiscal-year and annualised run-rate; live)</t>
  </si>
  <si>
    <t>Engine: US rung shares between 0 and 100%, and rest-of-core share below 100%, every year (live)</t>
  </si>
  <si>
    <t>Base = fitted midpoint, 40% share. Row 3 is the base midpoint; share is rest of core / core revenue.</t>
  </si>
  <si>
    <t>Rest-of-core share of core revenue at the exit / reference wage ratio</t>
  </si>
  <si>
    <t>Rest-of-core spend per slot, 2036 (2026$ / month; implied)</t>
  </si>
  <si>
    <t>Rest-of-core spend per slot as % of the US, 2036 (ceiling ~61%, reference)</t>
  </si>
  <si>
    <t>International share of revenue, 2036 (filing basis)</t>
  </si>
  <si>
    <t>Marketplace share of revenue, 9M 2026</t>
  </si>
  <si>
    <t>Filing (S-1/A p.58)</t>
  </si>
  <si>
    <t>11% / 32% / 47% / 44% in 2023, 2024, 2025, 9M 2026. Anthropic is principal: revenue is gross (F-22) and fees sit in S&amp;M (pp.147-148, +$4.8B in 9M, p.152).</t>
  </si>
  <si>
    <t>Marketing, % of revenue, at the start</t>
  </si>
  <si>
    <t>Derived (Our est.)</t>
  </si>
  <si>
    <t>9M S&amp;M $5,529M less fees of about $5.05B (about +$4.8B on a small 2025 base) = about $0.48B = 1.4% of revenue. The filing does not split it out.</t>
  </si>
  <si>
    <t>Fee load on consumption revenue at the start (ties to Q3 S&amp;M 13.9%)</t>
  </si>
  <si>
    <t>(Q3 S&amp;M % - marketing) / the model's consumption share. Subscriptions are assumed to carry no fee. Set on the 9M consumption share so Q4 2026 S&amp;M stays at 13.92% of revenue.</t>
  </si>
  <si>
    <t>Memo: the same on Q3 actual consumption (9M less H1)</t>
  </si>
  <si>
    <t>Q3 consumption $13,242M = 78.1% of revenue (filing, 9M less H1). The 16.3% first estimate mixed a $180M marketing figure with a 79% share.</t>
  </si>
  <si>
    <t>Memo: marketplace share of consumption today</t>
  </si>
  <si>
    <t>Assumes all marketplace revenue is consumption.</t>
  </si>
  <si>
    <t>Memo: implied effective fee on marketplace revenue, at the start</t>
  </si>
  <si>
    <t>9M 2026 about a third ($5.05B / $14.6B); 2025 at most 20%; 2024 at most 8%. The later Q3 figure is lower because S&amp;M fell from 18.5% to 13.9% of revenue.</t>
  </si>
  <si>
    <t>Marketing, % of revenue, 2036</t>
  </si>
  <si>
    <t>Same in every scenario.</t>
  </si>
  <si>
    <t>Fee load on consumption revenue, 2036</t>
  </si>
  <si>
    <t>Memo: implied effective fee, 2036, if marketplace share of consumption is held</t>
  </si>
  <si>
    <t>Plan case: last year on the base path</t>
  </si>
  <si>
    <t>FY2027-28 are identical to the base, so FY2028 stays on the $190-200B plan.</t>
  </si>
  <si>
    <t>Plan case: year the extra R3 price is fully in</t>
  </si>
  <si>
    <t>Plan case: R3 price, 2036, % of wage (fitted; base path to FY2028, extra spend after)</t>
  </si>
  <si>
    <t>B. Rest of core / core revenue, 2036 (= international / total on the filing's measure: see Revenue Engine)</t>
  </si>
  <si>
    <t>Marketplace fee load on consumption, 2036 (live)</t>
  </si>
  <si>
    <t>Sales, marketing &amp; partnerships % (output: marketing + fee load x consumption share)</t>
  </si>
  <si>
    <t>Sales, marketing &amp; partnerships = marketing + marketplace fees</t>
  </si>
  <si>
    <t>Marketplace fee load on consumption revenue (glide, S&amp;M timing)</t>
  </si>
  <si>
    <t>Marketing, % of revenue (glide, S&amp;M timing)</t>
  </si>
  <si>
    <t>Marketplace fees (memo)</t>
  </si>
  <si>
    <t>Plan case: extra R3 price over the base path (0 unless the case driver = plan)</t>
  </si>
  <si>
    <t>Rest of core / core revenue (input path; filing-measure equivalent below)</t>
  </si>
  <si>
    <t>International / total revenue (filing's measure: rest of core + non-core)</t>
  </si>
  <si>
    <t>Revenue FY2029 ($B)</t>
  </si>
  <si>
    <t>Revenue FY2030 ($B)</t>
  </si>
  <si>
    <t>Growth FY2029</t>
  </si>
  <si>
    <t>Growth FY2030</t>
  </si>
  <si>
    <t>Growth FY2031</t>
  </si>
  <si>
    <t>Growth FY2032</t>
  </si>
  <si>
    <t>Growth a year, FY2028-31</t>
  </si>
  <si>
    <t>R3 price, 2036 (% of wage)</t>
  </si>
  <si>
    <t>US market spend per slot, 2036 (2026$)</t>
  </si>
  <si>
    <t>Market spend, % of core wages, 2036</t>
  </si>
  <si>
    <t>Long-run EBIT margin</t>
  </si>
  <si>
    <t>Long-run S&amp;M, % of revenue</t>
  </si>
  <si>
    <t>Rest of core / core revenue, 2036 -&gt;</t>
  </si>
  <si>
    <t>International / total, 2036 (filing's measure)</t>
  </si>
  <si>
    <t>Plan case: equity at the fitted R3 price = $1.5T (within $0.5B)</t>
  </si>
  <si>
    <t>Plan case: FY2028 inside the $190-200B plan</t>
  </si>
  <si>
    <t>Stress table, plan column</t>
  </si>
  <si>
    <t>S&amp;M: Q4 2026 still = Q3 2026 % of revenue (13.92%)</t>
  </si>
  <si>
    <t>Plan case: straight-line weight in the extra R3 price path (rest is an S-curve)</t>
  </si>
  <si>
    <t>Progress = a x + (1 - a)(3x^2 - 2x^3), x = share of the years after FY2028 elapsed. Set just high enough that growth never widens after FY2028.</t>
  </si>
  <si>
    <t>Base path to FY2028, then the extra R3 price phases in by this year (shape in the next row).</t>
  </si>
  <si>
    <t>Plan case: progress of the extra R3 price (line + S-curve after the last base-path year)</t>
  </si>
  <si>
    <t>Training share sensitivity (stress case 9): G in every scenario</t>
  </si>
  <si>
    <t>Research low-margin end</t>
  </si>
  <si>
    <t>Early premium restored</t>
  </si>
  <si>
    <t>Training G 22%</t>
  </si>
  <si>
    <t>Cost of equity by year (flat at the mature rate; stress case 8 restores the early premium and its fade)</t>
  </si>
  <si>
    <t>Cost of equity, flat FY2027-36 and terminal (stress case 8 restores the early premium, row 159)</t>
  </si>
  <si>
    <t>Not in the live rate. Would give 4.94% + 1.5 x 4.75% = 12.07% in FY2027-29, a 2.4-point premium, fading to the mature rate by FY2036. Dropped because scenario weights and the commitment floor carry that risk in cash flows, so a higher early rate double-counts it (Damodaran, 3 Nov 2026: put failure risk in the failure probability, not the discount rate). No published basis. Effect shown on Sensitivities and the Summary foot.</t>
  </si>
  <si>
    <t>Last fiscal year at the early rate (stress case 8 only)</t>
  </si>
  <si>
    <t>Stress case 8 only: FY2027-29 at the early rate.</t>
  </si>
  <si>
    <t>Fiscal year the mature rate is reached (stress case 8 only)</t>
  </si>
  <si>
    <t>Stress case 8 only: linear fade from the early rate after FY2029 to the mature rate in FY2036.</t>
  </si>
  <si>
    <t>Treasury daily par yield curve, 10-year, 30 Oct 2026 = 4.94% (checked against home.treasury.gov, 4 Nov 2026; 3 Nov = 4.95%). Damodaran's 4.9% 'on 26 Oct' does not match Treasury's 5.00% that day. His 5.29% is Treasury's 30 Sep print: a start-of-October rate, not an error, and now stale. Update on the valuation date.</t>
  </si>
  <si>
    <t>Implied terminal EV / FY2036 NOPAT</t>
  </si>
  <si>
    <t>Steady-state FCF on FY2036 NOPAT (memo; valued path: DCF rows 99-109)</t>
  </si>
  <si>
    <t>Value-based: an agent doing part of the job. Plan case and reverse valuation solve this (Model F11). Research range for 2036: 3 / 5 / 9% of core wages (low / central / high); nothing supports 15% by 2036.</t>
  </si>
  <si>
    <t>Research range for 2036: 3 / 5 / 9% of core wages (low / central / high); nothing supports 15% by 2036.</t>
  </si>
  <si>
    <t>Case driver (rows) x scenario driver (columns) -&gt;</t>
  </si>
  <si>
    <t>Weighted</t>
  </si>
  <si>
    <t>vs live weighted</t>
  </si>
  <si>
    <t>Early cost-of-equity premium restored (12.07% FY27-29, fading to 9.69% by FY36)</t>
  </si>
  <si>
    <t>Training G at 22% in every scenario (research low-margin end)</t>
  </si>
  <si>
    <t>Live (no case)</t>
  </si>
  <si>
    <t>PV of terminal value ($B)</t>
  </si>
  <si>
    <t>Enterprise value ($B)</t>
  </si>
  <si>
    <t>Revenue growth FY2036</t>
  </si>
  <si>
    <t>FCF FY2037 ($B)</t>
  </si>
  <si>
    <t>Unlevered FCF FY2036 ($B)</t>
  </si>
  <si>
    <t>Revenue FY2033 ($B)</t>
  </si>
  <si>
    <t>Revenue CAGR FY2028-33</t>
  </si>
  <si>
    <t>Cost of equity flat at the mature rate, FY2027-36 (live)</t>
  </si>
  <si>
    <t>Model row 159</t>
  </si>
  <si>
    <t>DCF O109 vs E10</t>
  </si>
  <si>
    <t>Base 2036 market inside the 3-9% research range</t>
  </si>
  <si>
    <t>Sensitivities A2</t>
  </si>
  <si>
    <t>Goal Seek 04 Nov 2026 (pasted); replayed below</t>
  </si>
  <si>
    <t>Layer</t>
  </si>
  <si>
    <t>Premium and share</t>
  </si>
  <si>
    <t>Demand only</t>
  </si>
  <si>
    <t>Demand and share wins</t>
  </si>
  <si>
    <t>Live layer</t>
  </si>
  <si>
    <t>Stress case code</t>
  </si>
  <si>
    <t>Award settlement price (assumption = this layer's own value per share, as for the five scenarios)</t>
  </si>
  <si>
    <t>Check: value per share from the model, by layer</t>
  </si>
  <si>
    <t>Serving, % of revenue, FY2036</t>
  </si>
  <si>
    <t>Training, % of revenue, FY2036</t>
  </si>
  <si>
    <t>US $/slot, 2036 (2026$)</t>
  </si>
  <si>
    <t>EBIT FY2027 ($B)</t>
  </si>
  <si>
    <t>Layer table vs scenario table</t>
  </si>
  <si>
    <t>Layer table vs A2</t>
  </si>
  <si>
    <t>Training: last year of unchanged dollars (0 = no re-glide)</t>
  </si>
  <si>
    <t>Training: long-run share of the path before the re-glide</t>
  </si>
  <si>
    <t>Plateau and Commoditisation keep their old 15% glide to the re-glide year, so near-term dollars do not move.</t>
  </si>
  <si>
    <t>Uncommitted compute: unit price fall once the floor stops binding</t>
  </si>
  <si>
    <t>Plateau only. Commoditisation gets none: price and efficiency gains pass to customers.</t>
  </si>
  <si>
    <t>Uncommitted compute: years the fall takes</t>
  </si>
  <si>
    <t>Uncommitted compute: share of the saving kept as margin</t>
  </si>
  <si>
    <t>Half kept lowers compute expense. Half passed to customers is modelled as more usage for the same dollars, so revenue does not change and that half never reaches the P&amp;L. EBIT is the same as cutting price and cost together.</t>
  </si>
  <si>
    <t>Excess committed compute: share recovered by resale</t>
  </si>
  <si>
    <t>No resale in the live case. Stress case 18 tests the value below.</t>
  </si>
  <si>
    <t>...test value (stress case 18)</t>
  </si>
  <si>
    <t>...in use</t>
  </si>
  <si>
    <t>Slower share loss test (stress case 17): Anthropic share of tier-1 spend</t>
  </si>
  <si>
    <t>Share loss 30%. Enterprises are sticky.</t>
  </si>
  <si>
    <t>...Anthropic share of tier-2/3 spend</t>
  </si>
  <si>
    <t>Share loss 20%.</t>
  </si>
  <si>
    <t>...Anthropic share of subscription spend</t>
  </si>
  <si>
    <t>Share loss 12%.</t>
  </si>
  <si>
    <t>Training on the path before any re-glide</t>
  </si>
  <si>
    <t>Last year of unchanged training dollars (live; 0 = none; off when G is overridden)</t>
  </si>
  <si>
    <t>Long-run share of the path before the re-glide (live)</t>
  </si>
  <si>
    <t>Training on the path before the re-glide</t>
  </si>
  <si>
    <t>Training after the re-glide</t>
  </si>
  <si>
    <t>Training cut</t>
  </si>
  <si>
    <t>Compute expense if training had not been cut (MAX(demand before the cut, floor))</t>
  </si>
  <si>
    <t>Saved after the floor</t>
  </si>
  <si>
    <t>Blocked by the floor</t>
  </si>
  <si>
    <t>Years the floor has not bound</t>
  </si>
  <si>
    <t>Uncommitted compute: unit price fall</t>
  </si>
  <si>
    <t>Uncommitted compute at old prices (demand above the floor)</t>
  </si>
  <si>
    <t>Saving kept as margin</t>
  </si>
  <si>
    <t>Saving passed to customers (more usage for the same dollars; memo)</t>
  </si>
  <si>
    <t>Excess committed compute (floor above demand)</t>
  </si>
  <si>
    <t>Recovered by resale of excess capacity</t>
  </si>
  <si>
    <t>Compute &amp; infrastructure expense = MAX(demand, floor), less rows 173 and 176 (zero outside Plateau and the resale test)</t>
  </si>
  <si>
    <t>Premium Frontier</t>
  </si>
  <si>
    <t>Premium expands</t>
  </si>
  <si>
    <t>Value added, premium first: premium expands (F) / Anthropic wins (G) / bigger demand (H)</t>
  </si>
  <si>
    <t>Value added, demand first: bigger demand (I) / Anthropic wins (J) / premium expands (H)</t>
  </si>
  <si>
    <t>A. Scenarios: one data table over the scenario driver (E7) runs all six through the full model</t>
  </si>
  <si>
    <t>Tier-1 share of consumption, 2036 -&gt;</t>
  </si>
  <si>
    <t>Test less Share loss</t>
  </si>
  <si>
    <t>Scenario driver -&gt;</t>
  </si>
  <si>
    <t>25% recovered: value per share ($)</t>
  </si>
  <si>
    <t>No resale (live): value per share ($)</t>
  </si>
  <si>
    <t>Value of 25% recovery ($ per share)</t>
  </si>
  <si>
    <t>Data table behind the display (scenario driver E7; one row per metric and year)</t>
  </si>
  <si>
    <t>Revenue FY2028</t>
  </si>
  <si>
    <t>Revenue FY2029</t>
  </si>
  <si>
    <t>Revenue FY2030</t>
  </si>
  <si>
    <t>Revenue FY2032</t>
  </si>
  <si>
    <t>Revenue FY2033</t>
  </si>
  <si>
    <t>Revenue FY2034</t>
  </si>
  <si>
    <t>Revenue FY2035</t>
  </si>
  <si>
    <t>Training before the re-glide FY2027</t>
  </si>
  <si>
    <t>Training before the re-glide FY2028</t>
  </si>
  <si>
    <t>Training before the re-glide FY2029</t>
  </si>
  <si>
    <t>Training before the re-glide FY2030</t>
  </si>
  <si>
    <t>Training before the re-glide FY2031</t>
  </si>
  <si>
    <t>Training before the re-glide FY2032</t>
  </si>
  <si>
    <t>Training before the re-glide FY2033</t>
  </si>
  <si>
    <t>Training before the re-glide FY2034</t>
  </si>
  <si>
    <t>Training before the re-glide FY2035</t>
  </si>
  <si>
    <t>Training before the re-glide FY2036</t>
  </si>
  <si>
    <t>Training after the re-glide FY2027</t>
  </si>
  <si>
    <t>Training after the re-glide FY2028</t>
  </si>
  <si>
    <t>Training after the re-glide FY2029</t>
  </si>
  <si>
    <t>Training after the re-glide FY2030</t>
  </si>
  <si>
    <t>Training after the re-glide FY2031</t>
  </si>
  <si>
    <t>Training after the re-glide FY2032</t>
  </si>
  <si>
    <t>Training after the re-glide FY2033</t>
  </si>
  <si>
    <t>Training after the re-glide FY2034</t>
  </si>
  <si>
    <t>Training after the re-glide FY2035</t>
  </si>
  <si>
    <t>Training after the re-glide FY2036</t>
  </si>
  <si>
    <t>Training cut FY2027</t>
  </si>
  <si>
    <t>Training cut FY2028</t>
  </si>
  <si>
    <t>Training cut FY2029</t>
  </si>
  <si>
    <t>Training cut FY2030</t>
  </si>
  <si>
    <t>Training cut FY2031</t>
  </si>
  <si>
    <t>Training cut FY2032</t>
  </si>
  <si>
    <t>Training cut FY2033</t>
  </si>
  <si>
    <t>Training cut FY2034</t>
  </si>
  <si>
    <t>Training cut FY2035</t>
  </si>
  <si>
    <t>Training cut FY2036</t>
  </si>
  <si>
    <t>...saved after the floor FY2027</t>
  </si>
  <si>
    <t>...saved after the floor FY2028</t>
  </si>
  <si>
    <t>...saved after the floor FY2029</t>
  </si>
  <si>
    <t>...saved after the floor FY2030</t>
  </si>
  <si>
    <t>...saved after the floor FY2031</t>
  </si>
  <si>
    <t>...saved after the floor FY2032</t>
  </si>
  <si>
    <t>...saved after the floor FY2033</t>
  </si>
  <si>
    <t>...saved after the floor FY2034</t>
  </si>
  <si>
    <t>...saved after the floor FY2035</t>
  </si>
  <si>
    <t>...saved after the floor FY2036</t>
  </si>
  <si>
    <t>...blocked by the floor FY2027</t>
  </si>
  <si>
    <t>...blocked by the floor FY2028</t>
  </si>
  <si>
    <t>...blocked by the floor FY2029</t>
  </si>
  <si>
    <t>...blocked by the floor FY2030</t>
  </si>
  <si>
    <t>...blocked by the floor FY2031</t>
  </si>
  <si>
    <t>...blocked by the floor FY2032</t>
  </si>
  <si>
    <t>...blocked by the floor FY2033</t>
  </si>
  <si>
    <t>...blocked by the floor FY2034</t>
  </si>
  <si>
    <t>...blocked by the floor FY2035</t>
  </si>
  <si>
    <t>...blocked by the floor FY2036</t>
  </si>
  <si>
    <t>Committed compute floor FY2028</t>
  </si>
  <si>
    <t>Committed compute floor FY2029</t>
  </si>
  <si>
    <t>Committed compute floor FY2030</t>
  </si>
  <si>
    <t>Committed compute floor FY2031</t>
  </si>
  <si>
    <t>Committed compute floor FY2032</t>
  </si>
  <si>
    <t>Committed compute floor FY2033</t>
  </si>
  <si>
    <t>Committed compute floor FY2034</t>
  </si>
  <si>
    <t>Committed compute floor FY2035</t>
  </si>
  <si>
    <t>Committed compute floor FY2036</t>
  </si>
  <si>
    <t>Uncommitted compute at old prices FY2027</t>
  </si>
  <si>
    <t>Uncommitted compute at old prices FY2028</t>
  </si>
  <si>
    <t>Uncommitted compute at old prices FY2029</t>
  </si>
  <si>
    <t>Uncommitted compute at old prices FY2030</t>
  </si>
  <si>
    <t>Uncommitted compute at old prices FY2031</t>
  </si>
  <si>
    <t>Uncommitted compute at old prices FY2032</t>
  </si>
  <si>
    <t>Uncommitted compute at old prices FY2033</t>
  </si>
  <si>
    <t>Uncommitted compute at old prices FY2034</t>
  </si>
  <si>
    <t>Uncommitted compute at old prices FY2035</t>
  </si>
  <si>
    <t>Uncommitted compute at old prices FY2036</t>
  </si>
  <si>
    <t>Uncommitted unit price fall FY2027</t>
  </si>
  <si>
    <t>Uncommitted unit price fall FY2028</t>
  </si>
  <si>
    <t>Uncommitted unit price fall FY2029</t>
  </si>
  <si>
    <t>Uncommitted unit price fall FY2030</t>
  </si>
  <si>
    <t>Uncommitted unit price fall FY2031</t>
  </si>
  <si>
    <t>Uncommitted unit price fall FY2032</t>
  </si>
  <si>
    <t>Uncommitted unit price fall FY2033</t>
  </si>
  <si>
    <t>Uncommitted unit price fall FY2034</t>
  </si>
  <si>
    <t>Uncommitted unit price fall FY2035</t>
  </si>
  <si>
    <t>Uncommitted unit price fall FY2036</t>
  </si>
  <si>
    <t>Saving kept as margin FY2027</t>
  </si>
  <si>
    <t>Saving kept as margin FY2028</t>
  </si>
  <si>
    <t>Saving kept as margin FY2029</t>
  </si>
  <si>
    <t>Saving kept as margin FY2030</t>
  </si>
  <si>
    <t>Saving kept as margin FY2031</t>
  </si>
  <si>
    <t>Saving kept as margin FY2032</t>
  </si>
  <si>
    <t>Saving kept as margin FY2033</t>
  </si>
  <si>
    <t>Saving kept as margin FY2034</t>
  </si>
  <si>
    <t>Saving kept as margin FY2035</t>
  </si>
  <si>
    <t>Saving kept as margin FY2036</t>
  </si>
  <si>
    <t>Passed to customers (memo) FY2027</t>
  </si>
  <si>
    <t>Passed to customers (memo) FY2028</t>
  </si>
  <si>
    <t>Passed to customers (memo) FY2029</t>
  </si>
  <si>
    <t>Passed to customers (memo) FY2030</t>
  </si>
  <si>
    <t>Passed to customers (memo) FY2031</t>
  </si>
  <si>
    <t>Passed to customers (memo) FY2032</t>
  </si>
  <si>
    <t>Passed to customers (memo) FY2033</t>
  </si>
  <si>
    <t>Passed to customers (memo) FY2034</t>
  </si>
  <si>
    <t>Passed to customers (memo) FY2035</t>
  </si>
  <si>
    <t>Passed to customers (memo) FY2036</t>
  </si>
  <si>
    <t>Compute expense FY2027</t>
  </si>
  <si>
    <t>Compute expense FY2028</t>
  </si>
  <si>
    <t>Compute expense FY2029</t>
  </si>
  <si>
    <t>Compute expense FY2030</t>
  </si>
  <si>
    <t>Compute expense FY2031</t>
  </si>
  <si>
    <t>Compute expense FY2032</t>
  </si>
  <si>
    <t>Compute expense FY2033</t>
  </si>
  <si>
    <t>Compute expense FY2034</t>
  </si>
  <si>
    <t>Compute expense FY2035</t>
  </si>
  <si>
    <t>Compute expense FY2036</t>
  </si>
  <si>
    <t>Excess committed compute FY2027</t>
  </si>
  <si>
    <t>Excess committed compute FY2028</t>
  </si>
  <si>
    <t>Excess committed compute FY2029</t>
  </si>
  <si>
    <t>Excess committed compute FY2030</t>
  </si>
  <si>
    <t>Excess committed compute FY2031</t>
  </si>
  <si>
    <t>Excess committed compute FY2032</t>
  </si>
  <si>
    <t>Excess committed compute FY2033</t>
  </si>
  <si>
    <t>Excess committed compute FY2034</t>
  </si>
  <si>
    <t>Excess committed compute FY2035</t>
  </si>
  <si>
    <t>Excess committed compute FY2036</t>
  </si>
  <si>
    <t>EBIT margin FY2028</t>
  </si>
  <si>
    <t>EBIT margin FY2029</t>
  </si>
  <si>
    <t>EBIT margin FY2030</t>
  </si>
  <si>
    <t>EBIT margin FY2031</t>
  </si>
  <si>
    <t>EBIT margin FY2032</t>
  </si>
  <si>
    <t>EBIT margin FY2033</t>
  </si>
  <si>
    <t>EBIT margin FY2034</t>
  </si>
  <si>
    <t>EBIT margin FY2035</t>
  </si>
  <si>
    <t>EBIT margin FY2036</t>
  </si>
  <si>
    <t>FY2027</t>
  </si>
  <si>
    <t>FY2028</t>
  </si>
  <si>
    <t>FY2029</t>
  </si>
  <si>
    <t>FY2030</t>
  </si>
  <si>
    <t>FY2031</t>
  </si>
  <si>
    <t>FY2032</t>
  </si>
  <si>
    <t>FY2033</t>
  </si>
  <si>
    <t>FY2034</t>
  </si>
  <si>
    <t>FY2035</t>
  </si>
  <si>
    <t>FY2036</t>
  </si>
  <si>
    <t>FY27-36</t>
  </si>
  <si>
    <t>Training before the re-glide</t>
  </si>
  <si>
    <t>...saved after the floor</t>
  </si>
  <si>
    <t>...blocked by the floor</t>
  </si>
  <si>
    <t>Uncommitted compute at old prices</t>
  </si>
  <si>
    <t>Uncommitted unit price fall</t>
  </si>
  <si>
    <t>Passed to customers (memo)</t>
  </si>
  <si>
    <t>Compute expense</t>
  </si>
  <si>
    <t>Excess committed compute</t>
  </si>
  <si>
    <t>Common inputs</t>
  </si>
  <si>
    <t>Discount factor, end-2036 to the valuation date</t>
  </si>
  <si>
    <t>Model row 160</t>
  </si>
  <si>
    <t>(a) Model's terminal EV/EBIT, Base</t>
  </si>
  <si>
    <t>Base scenario; the Frontier totals below use each Frontier's own multiple</t>
  </si>
  <si>
    <t>(b) Multiple, what you have to believe</t>
  </si>
  <si>
    <t>Diluted shares, Base (M)</t>
  </si>
  <si>
    <t>M</t>
  </si>
  <si>
    <t>Base revenue FY2036 ($B)</t>
  </si>
  <si>
    <t>$B</t>
  </si>
  <si>
    <t>For scale</t>
  </si>
  <si>
    <t>Life sciences (LEAD)</t>
  </si>
  <si>
    <t>What you have to believe</t>
  </si>
  <si>
    <t>Research low</t>
  </si>
  <si>
    <t>Research central</t>
  </si>
  <si>
    <t>Research high</t>
  </si>
  <si>
    <t>$B unless stated</t>
  </si>
  <si>
    <t>Source / note</t>
  </si>
  <si>
    <t>Global pharma spend, 2026</t>
  </si>
  <si>
    <t>S-1/A p.202, citing IQVIA: 'expected to exceed $2 trillion in 2026'</t>
  </si>
  <si>
    <t>Growth a year to 2036</t>
  </si>
  <si>
    <t>Memo: arithmetic, 2026 x (1 + g)^10</t>
  </si>
  <si>
    <t>Derived. Rounds to the $3T pool. The filing's figure is total pharma spend, most of it drug sales</t>
  </si>
  <si>
    <t>Revenue pool 2036: drug sales</t>
  </si>
  <si>
    <t>Anthropic share of the pool</t>
  </si>
  <si>
    <t>Revenue 2036</t>
  </si>
  <si>
    <t>Operating margin</t>
  </si>
  <si>
    <t>EBIT 2036</t>
  </si>
  <si>
    <t>Capital needed, 2027-36</t>
  </si>
  <si>
    <t>$100B is Our est.; the research high of $20B was for a far smaller outcome (8 assets x $2.67B, Deloitte)</t>
  </si>
  <si>
    <t>First year of capital</t>
  </si>
  <si>
    <t>Last year of capital (even spread, mid-year discounting)</t>
  </si>
  <si>
    <t>First material revenue</t>
  </si>
  <si>
    <t>PV of capital</t>
  </si>
  <si>
    <t>Value per share (a) at the model's terminal multiple</t>
  </si>
  <si>
    <t>$</t>
  </si>
  <si>
    <t>Value per share (b) at 20x</t>
  </si>
  <si>
    <t>Equity value (a)</t>
  </si>
  <si>
    <t>Equity value (b)</t>
  </si>
  <si>
    <t>Revenue as a multiple of the research high / share of Base FY2036</t>
  </si>
  <si>
    <t>x / %</t>
  </si>
  <si>
    <t>Needs AI to shorten development timelines or Anthropic to buy late-stage assets: Phase I approval odds are 7.9% and timelines run a decade, and no AI-discovered drug has full FDA approval. $100B buys about 37 approved assets at Deloitte's $2.67B, so each must average about $8B of sales a year.</t>
  </si>
  <si>
    <t>Research basis</t>
  </si>
  <si>
    <t>Cash, not biobucks: Isomorphic upfront 2.8% of headline; Recursion 2.5%. The listed AI-bio companies lose money (Schrödinger -40%).</t>
  </si>
  <si>
    <t>Services and IT</t>
  </si>
  <si>
    <t>Revenue pool 2036: services and IT</t>
  </si>
  <si>
    <t>Anthropic share of the pool (gross fees)</t>
  </si>
  <si>
    <t>Gross fees</t>
  </si>
  <si>
    <t>Claude consumption inside those fees, already in the core</t>
  </si>
  <si>
    <t>Research low and central: Ode is an equity-method stake, so no revenue. High: buy-out, net of Claude spend. Margin below is on net fees</t>
  </si>
  <si>
    <t>Research central is 20% of Ode's $1.2B operating profit</t>
  </si>
  <si>
    <t>Net $338B is about 4.5 times Accenture today, at 25% against its 15.4%. It competes with Accenture, Deloitte, KPMG and PwC, named as channel partners (S-1/A p.10); any lost channel revenue in the core is not modelled here.</t>
  </si>
  <si>
    <t>Ode: about 20% owned (press), consolidation undisclosed. Accenture grows mid-single digits at a 15.4% margin on $74B.</t>
  </si>
  <si>
    <t>Robotics</t>
  </si>
  <si>
    <t>Physical labour, 2036</t>
  </si>
  <si>
    <t>Share displaced</t>
  </si>
  <si>
    <t>Model-layer take of the displaced wage</t>
  </si>
  <si>
    <t>Revenue pool 2036: model layer</t>
  </si>
  <si>
    <t>Anthropic share of the model layer</t>
  </si>
  <si>
    <t>Research: units x labour value x take x share. High is 10M robots, above the sell-side</t>
  </si>
  <si>
    <t>Research high: a Physical Intelligence-scale acquisition plus $5B</t>
  </si>
  <si>
    <t>$1.5T of wages displaced by 2036: about 43M robots at research's $35k a year, against research's high of 10M. Exclude lab-technician and engineer agent use, already in the core.</t>
  </si>
  <si>
    <t>About 19,100 humanoids shipped in H1 2026, over 97% Chinese; Skild about $30M of revenue. Anthropic sells no hardware (S-1/A pp.50, 206).</t>
  </si>
  <si>
    <t>Each alone, and all three (research columns show the same sums)</t>
  </si>
  <si>
    <t>Life sciences</t>
  </si>
  <si>
    <t>All three</t>
  </si>
  <si>
    <t>Revenue 2036 ($B)</t>
  </si>
  <si>
    <t>EBIT 2036 ($B)</t>
  </si>
  <si>
    <t>Capital 2027-36 ($B)</t>
  </si>
  <si>
    <t>PV of capital ($B)</t>
  </si>
  <si>
    <t>Value per share (a), model multiple ($)</t>
  </si>
  <si>
    <t>Value per share (b), 20x ($)</t>
  </si>
  <si>
    <t>Equity value (a) ($B)</t>
  </si>
  <si>
    <t>Equity value (b) ($B)</t>
  </si>
  <si>
    <t>Research low, all three: revenue / EBIT / value per share (a) / (b)</t>
  </si>
  <si>
    <t>Research central, all three: revenue / EBIT / value per share (a) / (b)</t>
  </si>
  <si>
    <t>Research high, all three: revenue / EBIT / value per share (a) / (b)</t>
  </si>
  <si>
    <t>(a) own multiple, $/sh</t>
  </si>
  <si>
    <t>(b) 20x, $/sh</t>
  </si>
  <si>
    <t>Terminal EV/EBIT of the case</t>
  </si>
  <si>
    <t>Diluted shares of the case (M; two Public Benefit top-ups)</t>
  </si>
  <si>
    <t>Case alone, value per share</t>
  </si>
  <si>
    <t>+ Life sciences</t>
  </si>
  <si>
    <t>+ Services and IT</t>
  </si>
  <si>
    <t>+ Robotics</t>
  </si>
  <si>
    <t>+ All three</t>
  </si>
  <si>
    <t>+ All three, equity value ($B)</t>
  </si>
  <si>
    <t>Refresh routine</t>
  </si>
  <si>
    <t>Training dollars unchanged through FY2033 (Plateau) and FY2032 (Commoditisation)</t>
  </si>
  <si>
    <t>Cost path table</t>
  </si>
  <si>
    <t>Moonshot sheet</t>
  </si>
  <si>
    <t>Moonshot: all three = sum of the blocks</t>
  </si>
  <si>
    <t>Moonshot</t>
  </si>
  <si>
    <t>+ bigger demand (= Premium Frontier)</t>
  </si>
  <si>
    <t>Premium, share and demand (= Premium Frontier)</t>
  </si>
  <si>
    <t>n/a</t>
  </si>
  <si>
    <t>Value uses FY2036 EBIT only, so this year does not change it. Research gives capital timing, not a first-revenue year.</t>
  </si>
  <si>
    <t>Research: a programme started in 2027 reaches approval about 2035-36, so 2031 needs bought late-stage assets. Value uses FY2036 EBIT only.</t>
  </si>
  <si>
    <t>Research timing starting in 2026 is shown from 2027.</t>
  </si>
  <si>
    <t>Value per share, the weighted item ($)</t>
  </si>
  <si>
    <t>On the Frontier share count (two Public Benefit top-ups).</t>
  </si>
  <si>
    <t>Sensitivities K18</t>
  </si>
  <si>
    <t>...of which life sciences at 20x ($)</t>
  </si>
  <si>
    <t>Less PV of capital, on the Frontier share count</t>
  </si>
  <si>
    <t>Memo: value at the model's terminal multiple instead ($)</t>
  </si>
  <si>
    <t>Commod.</t>
  </si>
  <si>
    <t>Sum</t>
  </si>
  <si>
    <t>Moonshot value ($)</t>
  </si>
  <si>
    <t>Memo: same weights, Moonshot at the model's terminal multiple</t>
  </si>
  <si>
    <t>Weights block</t>
  </si>
  <si>
    <t>Other-cost add-on: first year</t>
  </si>
  <si>
    <t>Lines up with the start of the training and compute savings. Before this year the add-on is zero.</t>
  </si>
  <si>
    <t>Other-cost add-on: years to reach the full share (1 = a step)</t>
  </si>
  <si>
    <t>25% / 50% / 75% / 100% of the add-on in FY33-36. A step in FY33 would put a kink in the margin path.</t>
  </si>
  <si>
    <t>Other operating &amp; administrative (includes the lost-scale add-on, row 177)</t>
  </si>
  <si>
    <t>Personnel ex SBC: scale saving off the terminal share of revenue</t>
  </si>
  <si>
    <t>The model carries 19.5% (personnel 7, SBC 6, other op &amp; admin 5, D&amp;A 1.5), not the 19.0% in the research note, so 18% is 1.5 points. All of it comes off personnel: research builds cash personnel at 3-5% of revenue. 0.01 here gives 18.5%.</t>
  </si>
  <si>
    <t>Memo: other costs, terminal share of revenue (personnel, SBC, other op &amp; admin, D&amp;A)</t>
  </si>
  <si>
    <t>Memo: no Moonshot weight (Base 50%)</t>
  </si>
  <si>
    <t>Rows set the 2036 R3 price (% of wage) that gives the spend, at the live rung shares. Centre = live ($735 base).</t>
  </si>
  <si>
    <t>Corner = live value per share. Base G 20%, tier-1 serving 12% (other streams at their live intensities).</t>
  </si>
  <si>
    <t>Volume leader</t>
  </si>
  <si>
    <t>Volume leader's own DCF value plus the life sciences line at 20x. The core keeps its own terminal value.</t>
  </si>
  <si>
    <t>...of which Volume leader ($)</t>
  </si>
  <si>
    <t>Volume leader's own multiple on the life sciences line</t>
  </si>
  <si>
    <t>Volume leader (scenario 6)</t>
  </si>
  <si>
    <t>Volume leader: settlement price = value per share</t>
  </si>
  <si>
    <t>Moonshot weighted item = Volume leader + life sciences at 20x, less PV of capital</t>
  </si>
  <si>
    <t>Downside cost paths are off in Base and Premium Frontier and Volume leader (re-glide, price fall, other-cost add-on, live resale)</t>
  </si>
  <si>
    <t>Added to Premium Frontier and to Volume leader (not weighted, except Volume leader + life sciences at 20x: see the foot of this sheet)</t>
  </si>
  <si>
    <t>Memo: Moonshot's 5% taken pro rata from the other four, instead of from Base, Moonshot at 20x</t>
  </si>
  <si>
    <t>Sales to capital, FY2037-46 (live)</t>
  </si>
  <si>
    <t>Net reinvestment = change in revenue / this ratio. Through FY2036 growth is paid for through the P&amp;L (training, serving and leased compute are expensed), and g / RONIC charged $62B in FY2037 against nothing identified. All cases.</t>
  </si>
  <si>
    <t>...low test (stress case 19)</t>
  </si>
  <si>
    <t>...high test (stress case 20)</t>
  </si>
  <si>
    <t>Combined downside memo (stress case 21): award settlement price</t>
  </si>
  <si>
    <t>Our est. = this memo's value per share</t>
  </si>
  <si>
    <t>Check: value per share from the model</t>
  </si>
  <si>
    <t>Derived (data table)</t>
  </si>
  <si>
    <t>FCF (NOPAT less change in revenue / sales to capital, row 117; stress case 10 uses the old NOPAT x (1 - g / RONIC))</t>
  </si>
  <si>
    <t>RONIC, old-method test only (linear from the FY2037 input to the mature rate, then equal to it)</t>
  </si>
  <si>
    <t>Reinvestment rate (1 - FCF / NOPAT)</t>
  </si>
  <si>
    <t>Reinvestment rate in perpetuity from FY2047 = g / mature rate (the convergence assumption)</t>
  </si>
  <si>
    <t>Steady-state FCF on FY2036 NOPAT (memo; the valued path is rows 99-105)</t>
  </si>
  <si>
    <t>Terminal value at end-2036 (FY2037-46 + perpetuity, mid-period basis)</t>
  </si>
  <si>
    <t>Sales to capital in use (input; stress cases 19 and 20 test 2 and 4)</t>
  </si>
  <si>
    <t>Revenue (grows with the fade, margin held at FY2036)</t>
  </si>
  <si>
    <t>Net reinvestment = change in revenue / sales to capital</t>
  </si>
  <si>
    <t>Net reinvestment, % of NOPAT</t>
  </si>
  <si>
    <t>Cash-flow bridge: FY2036 to FY2037 to FY2047 (US$B, live scenario)</t>
  </si>
  <si>
    <t>FY2037</t>
  </si>
  <si>
    <t>FY2046</t>
  </si>
  <si>
    <t>FY2047</t>
  </si>
  <si>
    <t>Net reinvestment</t>
  </si>
  <si>
    <t>Free cash flow</t>
  </si>
  <si>
    <t>Reinvestment, % of NOPAT</t>
  </si>
  <si>
    <t>Why not g / RONIC for FY2037-46: through FY2036 growth is paid for through the P&amp;L (training, serving and leased compute are expensed), and the old formula charged $62B in FY2037 against nothing identified.</t>
  </si>
  <si>
    <t>Old-method test (stress case 10): RONIC in FY2037</t>
  </si>
  <si>
    <t>Years from FY2037 before the perpetuity (10 = FY2037-46); also the old-method RONIC fade</t>
  </si>
  <si>
    <t>Sales to capital runs over these years (section O). Old-method test: linear from 20% in FY2037 to the mature rate in FY2046. Convergence (RONIC = mature rate) starts the year after, FY2047.</t>
  </si>
  <si>
    <t>Return on new invested capital in perpetuity, from FY2047</t>
  </si>
  <si>
    <t>No basis - judgment. Growth fades linearly from the FY2036 rate to the terminal rate over these years. Reinvestment FY2037-46 = change in revenue / sales to capital (DCF rows 115-117).</t>
  </si>
  <si>
    <t>Old g / RONIC method</t>
  </si>
  <si>
    <t>Old g / RONIC method (RONIC 20% in FY2037 fading to the mature rate by FY2046)</t>
  </si>
  <si>
    <t>Reinvestment rate FY2037 (1 - FCF / NOPAT)</t>
  </si>
  <si>
    <t>Sales to capital 2</t>
  </si>
  <si>
    <t>Sales to capital 4</t>
  </si>
  <si>
    <t>Live (sales to capital 3)</t>
  </si>
  <si>
    <t>vs Commoditisation ($)</t>
  </si>
  <si>
    <t>Combined downside: Commoditisation inputs with Share loss's capture (subscription 12%, tier-1 30%, tier-2/3 20%)</t>
  </si>
  <si>
    <t>Headline if these points moved from Commoditisation to the combined downside (memo; live weights unchanged)</t>
  </si>
  <si>
    <t>Old-method test: RONIC reaches the mature cost of equity by FY2046</t>
  </si>
  <si>
    <t>Over this range half the 2026-36 move is done at the midpoint's mid-year. After about 2031.2 the curve turns convex (slow early, fast late; k below 0). Outside it the input is clamped and Checks fails.</t>
  </si>
  <si>
    <t>t* (years) -&gt;</t>
  </si>
  <si>
    <t>Curve speed k (solved so progress = 50% at the midpoint's mid-year, t*; Newton steps in the T row, H-P; below 0 = convex)</t>
  </si>
  <si>
    <t>k Newton -&gt;</t>
  </si>
  <si>
    <t>Class A common outstanding, 30 Sep 2026</t>
  </si>
  <si>
    <t>S-1/A F-7</t>
  </si>
  <si>
    <t>2,168,788 thousand shares. Class N unchanged at 30.643M.</t>
  </si>
  <si>
    <t>Options outstanding, 30 Sep 2026</t>
  </si>
  <si>
    <t>S-1/A F-52</t>
  </si>
  <si>
    <t>1,774,343 thousand, after 238.9M exercised in the nine months.</t>
  </si>
  <si>
    <t>Weighted-average exercise price, 30 Sep 2026</t>
  </si>
  <si>
    <t>Was $2.89 at 30 Jun.</t>
  </si>
  <si>
    <t>Change in common vs 30 Jun</t>
  </si>
  <si>
    <t>Change in options vs 30 Jun</t>
  </si>
  <si>
    <t>Net change in the economic count</t>
  </si>
  <si>
    <t>Common outstanding at 30 Sep 2026 (Class A + Class N)</t>
  </si>
  <si>
    <t>Options at 30 Sep 2026 and RSUs at 30 Jun 2026</t>
  </si>
  <si>
    <t>S-1/A F-52; S-1 F-53</t>
  </si>
  <si>
    <t>Revenue at which demand compute covers the floor (FY27-28: training fixed in $, serving intensity held; FY29+: training a share of revenue)</t>
  </si>
  <si>
    <t>Revenue shortfall vs that level (negative = short)</t>
  </si>
  <si>
    <t>FY2027 revenue at which demand compute covers the floor (training fixed in $)</t>
  </si>
  <si>
    <t>Probability weights: each vector sums to 100% separately (headline and two tilts; largest gap)</t>
  </si>
  <si>
    <t>Probability weights: every weight between 0% and 100% (count outside; headline and two tilts)</t>
  </si>
  <si>
    <t>Terminal: FCF = NOPAT less change in revenue / sales to capital, FY2037-46 (live)</t>
  </si>
  <si>
    <t>Terminal: FY2047 FCF = NOPAT x (1 - g / mature rate), the convergence assumption</t>
  </si>
  <si>
    <t>Terminal: Base value rises with sales to capital (2 &lt; live &lt; 4; count of breaks)</t>
  </si>
  <si>
    <t>Midpoint: progress at the midpoint's mid-year = 50% (live)</t>
  </si>
  <si>
    <t>Midpoint: every scenario's input inside the supported range (count outside)</t>
  </si>
  <si>
    <t>Memo: combined downside settlement price = its value per share</t>
  </si>
  <si>
    <t>No error values: Summary, DCF, Model outputs and scenario tables (count)</t>
  </si>
  <si>
    <t>Educational analysis by StreetCred, not investment advice. Filing figures are from the S-1/A (financials to 30 Sep 2026; $895.4B of commitments). It is still preliminary: the offering price and deal size are blank. Re-check against any later amendment.</t>
  </si>
  <si>
    <t>Live: sales to capital 3</t>
  </si>
  <si>
    <t>Combined downside: Commoditisation inputs with Share loss's capture</t>
  </si>
  <si>
    <t>Headline if 5 points moved from Commoditisation to the combined downside</t>
  </si>
  <si>
    <t>Bridge check: rebuilt 16.94B + adjustments + 30 Sep roll - count</t>
  </si>
  <si>
    <t>Memo: implied after-tax return on the new capital (change in NOPAT / net reinvestment)</t>
  </si>
  <si>
    <t>1. Scenario endpoints for 2036 (what each case assumes). Volume leader runs on Base with the overrides in section 2</t>
  </si>
  <si>
    <t>2. Volume leader and the Premium Frontier layers (stress cases 12-16; unweighted except Volume leader)</t>
  </si>
  <si>
    <t>3. Downside cost paths and costs at scale (off in Base, Premium Frontier and Volume leader unless shown)</t>
  </si>
  <si>
    <t>4. Demand base: knowledge-work slots and the rung ladder</t>
  </si>
  <si>
    <t>5. Calibration to 2026: targets from the filing, then the closed-form results</t>
  </si>
  <si>
    <t>6. Training compute: a dollar budget to FY2028, then a share of revenue</t>
  </si>
  <si>
    <t>7. Operating costs: start point (Q4 2026) and terminal level</t>
  </si>
  <si>
    <t>8. Sales and marketing: marketing % of revenue plus channel fees on consumption</t>
  </si>
  <si>
    <t>9. Compute commitments: share of each bucket treated as a cost</t>
  </si>
  <si>
    <t>10. Discount rate and terminal value</t>
  </si>
  <si>
    <t>11. Plan case (not weighted): what you have to believe for $1.5T</t>
  </si>
  <si>
    <t>12. Tax attributes and equity-award deductions</t>
  </si>
  <si>
    <t>13. Equity bridge</t>
  </si>
  <si>
    <t>14. GAAP memo items (not in valuation cash flow)</t>
  </si>
  <si>
    <t>15. Sensitivity steps and reverse-valuation targets</t>
  </si>
  <si>
    <t>16. Timeline, units and conventions</t>
  </si>
  <si>
    <t>Calibration report: Q4 2026 exit run-rate, annualised (target / engine / difference)</t>
  </si>
  <si>
    <t>Equity value vs the $1.5T talk</t>
  </si>
  <si>
    <t>Diluted shares (M; Public Benefit top-ups by case)</t>
  </si>
  <si>
    <t>Operating picture by case (K = Moonshot has no separate run)</t>
  </si>
  <si>
    <t>EBIT margin FY2036, after SBC</t>
  </si>
  <si>
    <t>All-compute margin FY2027</t>
  </si>
  <si>
    <t>Years FY2027-36 the compute floor binds</t>
  </si>
  <si>
    <t>Drawn on the $42B Broadcom facility ($B)</t>
  </si>
  <si>
    <t>Plan case (not weighted): what you have to believe for $1.5T</t>
  </si>
  <si>
    <t>Reverse valuation at the base margin</t>
  </si>
  <si>
    <t>$1.5T needs 5-yr CAGR from the Q3 run-rate</t>
  </si>
  <si>
    <t>What has to be true (Base)</t>
  </si>
  <si>
    <t>Weighted value under other assumptions: E per share ($), F equity ($B)</t>
  </si>
  <si>
    <t>Terminal reinvestment: value per share ($)</t>
  </si>
  <si>
    <t>Cash-flow bridge, live case ($B)</t>
  </si>
  <si>
    <t>Downside memo (not a case, no weight): E per share ($), F equity ($B)</t>
  </si>
  <si>
    <t>Value by case</t>
  </si>
  <si>
    <t>Demand plateau (reference)</t>
  </si>
  <si>
    <t>Premium Frontier (reference)</t>
  </si>
  <si>
    <t>Weighted value per share ($): E headline, F downside tilt, G upside tilt</t>
  </si>
  <si>
    <t>Weighted equity value ($B): E headline, F downside tilt, G upside tilt</t>
  </si>
  <si>
    <t>Weights, downside tilt (illustrative)</t>
  </si>
  <si>
    <t>Weights, upside tilt (illustrative)</t>
  </si>
  <si>
    <t>Scenario in use (the selector on Start here, unless a data table overrides it; Volume leader runs on Base)</t>
  </si>
  <si>
    <t>Scenario column read by the live case (same value as the row above)</t>
  </si>
  <si>
    <t>Midpoint year: earliest year supported</t>
  </si>
  <si>
    <t>Midpoint year: latest year supported</t>
  </si>
  <si>
    <t>Commoditisation: stated 2036 market, % of core wages (its R3 price above is solved to this)</t>
  </si>
  <si>
    <t>Other op &amp; admin: lost-scale add-on to the terminal share of revenue (phased in by the first-year and years rows below)</t>
  </si>
  <si>
    <t>Beta, early years (sensitivity only: stress case 8)</t>
  </si>
  <si>
    <t>R3 price step, % of wage (R3 price x margin grid rows)</t>
  </si>
  <si>
    <t>Milestones need the price +50% above the IPO. Plateau 0, Base 1, Premium Frontier 2.</t>
  </si>
  <si>
    <t>Terminal reinvestment table on Sensitivities.</t>
  </si>
  <si>
    <t>Inputs section 1 (by case)</t>
  </si>
  <si>
    <t>Commoditisation inputs with Share loss's capture (subscription, tier-1 and tier-2/3 rows above). One memo line, not a case. No weight.</t>
  </si>
  <si>
    <t>Dollars are identical to the earlier path through this year. From the next year the share moves in a straight line to the long-run training share by FY2036.</t>
  </si>
  <si>
    <t>Filing Data</t>
  </si>
  <si>
    <t>Compute-commitment deal terms, cap-table and securities data, and reconciliation inputs, from the filing or a cited source. Blue = typed input; column J = source. Dilution Calcs and Compute Commitments read from here.</t>
  </si>
  <si>
    <t>Cap table roll to 30 Sep 2026. 30 Jun stays the reconciliation to the 16.94B anchor; the economic count uses these</t>
  </si>
  <si>
    <t>30 Jun basis (the anchor reconciliation only). The economic count, strike cash and tax schedule use the 30 Sep rows below.</t>
  </si>
  <si>
    <t>Live case (follows the selector on Start here)</t>
  </si>
  <si>
    <t>US R3 price, 2036, % of wage (live; R3 price x margin grid and reverse-valuation lever; the plan case adds its own path on the Revenue Engine)</t>
  </si>
  <si>
    <t>Revenue from FY2027 comes from the Revenue Engine sheet; the Q4 2026 stub (Q3 actual x Q4 growth x (1 - drag)) is in G35.</t>
  </si>
  <si>
    <t>Terminal value: growth fade and sales-to-capital reinvestment, FY2037-46; from FY2047 perpetuity at terminal growth with RONIC = the mature rate</t>
  </si>
  <si>
    <t>Years modelled before the perpetuity (FY2037-46 = 10; set on Inputs section 10)</t>
  </si>
  <si>
    <t>RONIC path after FY2036: used only by the old-method test (stress case 10)</t>
  </si>
  <si>
    <t>Sales-to-capital reinvestment, FY2037-46. All cases. Growth through FY2036 is paid for in the P&amp;L; this charges new growth for capital</t>
  </si>
  <si>
    <t>Top-ups by scenario on Inputs section 1 (Plateau 0, Base 1, Premium Frontier 2).</t>
  </si>
  <si>
    <t>Roll to 30 Sep 2026: used in the economic count, the Tax Schedule and the bridge; the 16.94B reconciliation stays at 30 Jun</t>
  </si>
  <si>
    <t>Annual. Column F is the Q4 2026 exit state (Q4 x 4, the calibration point); G-P are FY2027-36 at mid-year. Live scenario, from the Live column on Inputs, with data-table overrides.</t>
  </si>
  <si>
    <t>Consumption-share scale (spend x share grid columns)</t>
  </si>
  <si>
    <t>R3 price, 2036 (% of wage; Model F11: plan and reverse-valuation lever; the spend x share grid sets it from a spend target)</t>
  </si>
  <si>
    <t>Memo: implied rest-of-core lag at the exit (years)</t>
  </si>
  <si>
    <t>Sources: Inputs (labels Filing / Research / Our est. / judgment).</t>
  </si>
  <si>
    <t>Moonshot: dominant in at least one non-core industry</t>
  </si>
  <si>
    <t>Summary F10. The Frontier totals use two Public Benefit top-ups (Summary G10)</t>
  </si>
  <si>
    <t>Inputs L54</t>
  </si>
  <si>
    <t>Every table re-runs the Model sheet (Data &gt; What-If Analysis &gt; Data Table). The driver cells E7:E12, E114:E119 and the drivers lower down must stay blank. US$B unless stated.</t>
  </si>
  <si>
    <t>Scenario (1 plateau, 2 base, 3 Premium Frontier, 4 commoditisation, 5 share loss, 6 Volume leader)</t>
  </si>
  <si>
    <t>Stress case (1 no floor, 2 RSU stress, 3 awards off, 4 leases capitalised, 5 CoE 10.19%, 6 unused, 7 plan case, 8 early CoE premium restored, 9 training G 22%, 10 old g / RONIC method, 11 base, 12 premium expands, 13 premium and share, 14 all layers (= Premium Frontier), 15 demand only, 16 demand and share wins, 17 slower share loss test, 18 resale recovery test, 19 sales to capital 2, 20 sales to capital 4, 21 combined downside memo)</t>
  </si>
  <si>
    <t>US R3 price, 2036, % of wage (R3 price x margin grid rows; overrides Model F11)</t>
  </si>
  <si>
    <t>Unused (= live)</t>
  </si>
  <si>
    <t>R3 price x margin grid: US R3 price 2036, % of wage (rows) x terminal EBIT margin (columns) -&gt; equity value, US$B (full re-run)</t>
  </si>
  <si>
    <t>Market-engine grids: the drivers below are data-table inputs; leave blank</t>
  </si>
  <si>
    <t>US market spend per slot, 2036, 2026$ (spend x share grid rows; sets the R3 price)</t>
  </si>
  <si>
    <t>Anthropic consumption share, 2036, tier blend (spend x share grid columns)</t>
  </si>
  <si>
    <t>Tier-1 share of consumption spend, 2036 (tier-1 grid rows)</t>
  </si>
  <si>
    <t>Serving intensity, tier-1, 2036 (tier-1 grid columns)</t>
  </si>
  <si>
    <t>Rest of core / core revenue, 2036 (midpoint grid columns; filing's measure is higher: 40% of core = 42.6%)</t>
  </si>
  <si>
    <t>Midpoint year (midpoint grid rows)</t>
  </si>
  <si>
    <t>Spend x share grid: US 2036 market spend per slot, 2026$ (rows) x Anthropic consumption share 2036 (columns) -&gt; value per share</t>
  </si>
  <si>
    <t>Tier-1 grid: tier-1 share of consumption 2036 (rows) x tier-1 serving intensity 2036 (columns) -&gt; value per share</t>
  </si>
  <si>
    <t>Serving-only intensity. Centre = live.</t>
  </si>
  <si>
    <t>Scenario detail: one data table over the scenario driver (E7)</t>
  </si>
  <si>
    <t>Long-run S&amp;M, % of revenue (FY2036)</t>
  </si>
  <si>
    <t>Base: tier-1 share of consumption, 2036 endpoint. One data table over the tier-1 grid's driver (E116). FY2028 not refitted; settlement price held at Base</t>
  </si>
  <si>
    <t>Old g / RONIC method (same as the row in the table above)</t>
  </si>
  <si>
    <t>Serving x training, training solve and midpoint tables (data tables must sit on the same sheet as their driver cells)</t>
  </si>
  <si>
    <t>Live case; column E = live midpoint.</t>
  </si>
  <si>
    <t>Sensitivities R3 price x margin grid: centre cell = live equity</t>
  </si>
  <si>
    <t>Sensitivities WACC x growth grid: centre cell = live equity</t>
  </si>
  <si>
    <t>Sensitivities R3 price x margin grid: equity rises with growth, every column</t>
  </si>
  <si>
    <t>Premium Frontier layers: all layers = Premium Frontier, value per share</t>
  </si>
  <si>
    <t>Premium Frontier layers: all layers = Premium Frontier, FY2036 revenue and long-run margin</t>
  </si>
  <si>
    <t>Headline weights sum to 100% and the three weighted-value routes agree (Summary, Sensitivities K210, weighted-value table)</t>
  </si>
  <si>
    <t>D. Weight bounds, terminal method, midpoint range, memos, error values</t>
  </si>
  <si>
    <t>Goal Seek replay (Sensitivities, training solve)</t>
  </si>
  <si>
    <t>Revenue Engine column F vs Inputs</t>
  </si>
  <si>
    <t>Model G49 vs Inputs K144</t>
  </si>
  <si>
    <t>Inputs section 3</t>
  </si>
  <si>
    <t>Summary weight rows</t>
  </si>
  <si>
    <t>Commit: components = S-1/A aggregate $895.4B (construction identity: a balancing residual, Filing Data I47, closes it; the source tie is the named deals, row above)</t>
  </si>
  <si>
    <t>Commoditisation: 2036 market = the stated % of core wages (Inputs K31; its R3 price is solved to it)</t>
  </si>
  <si>
    <t>Same in every scenario. 5-7% of nine-month revenue came from customers later cut off; enforcement stepped up Aug-Sep and is expected to 'reduce our overall revenue and growth rates'.</t>
  </si>
  <si>
    <t>Same in every scenario. Headcount scales with revenue but below it.</t>
  </si>
  <si>
    <t>Same in every scenario. Treated as a real cost in FCF. Large-cap software runs ~5-10%. Future grants are expensed, so the 2,950M-share plan reserve is NOT added to the share count.</t>
  </si>
  <si>
    <t>Same in every scenario. Excludes D&amp;A (forecast separately).</t>
  </si>
  <si>
    <t>Same in every scenario. 'committed to procure' (TPU) and 'non-cancelable by us' (AMD). The dollar amount is the company's estimate.</t>
  </si>
  <si>
    <t>Same in every scenario. Either party may cancel on 90 days' notice after Jan/Mar 2027, so the remainder is not a floor. Set to 100% to stress.</t>
  </si>
  <si>
    <t>Same in every scenario. Below the risk-free rate. Damodaran uses 4.9% (= his risk-free).</t>
  </si>
  <si>
    <t>Training path before any re-glide</t>
  </si>
  <si>
    <t>Downside cost paths: training re-glide, how much the floor blocks, uncommitted compute price, resale</t>
  </si>
  <si>
    <t>Other op &amp; admin: lost-scale add-on, share of revenue</t>
  </si>
  <si>
    <t>Cost of equity, live: flat FY2027-36 and terminal</t>
  </si>
  <si>
    <t>Plan case detail: one data table over the case driver (E8). E = live, F = plan</t>
  </si>
  <si>
    <t>International basis sensitivity: rest of core / core 2036. F = 40% on the filing's measure (37.2% of core); G = base 40% of core (42.6% on the filing's measure)</t>
  </si>
  <si>
    <t>Evidence set sensitivities: value per share by scenario, two-way data table (scenario driver E7 x case driver E8). Weighted column includes the Moonshot: the Volume leader run plus the life sciences line at its live value</t>
  </si>
  <si>
    <t>Terminal value by scenario: data table over the scenario driver (E7)</t>
  </si>
  <si>
    <t>Plan case extras: data table over the case driver (E8). E = live, F = plan</t>
  </si>
  <si>
    <t>Frontier split into layers: one data table over the case driver (E8). Full model runs off the base; each layer at its own settlement price</t>
  </si>
  <si>
    <t>Share loss: slower loss TEST. Tier-1 45% (was 30%), tier-2/3 27.5% (was 20%), subscriptions 18% (was 12%). Settlement price held at Share loss</t>
  </si>
  <si>
    <t>Resale of excess committed compute: two-way data table, case 18 recovers 25% of the excess in every scenario. Live stays at 0%. Settlement prices held</t>
  </si>
  <si>
    <t>Downside cost paths by year: display of the data table below. 'Saved' is what reaches the P&amp;L; 'blocked' is the rest of the training cut, absorbed by the floor</t>
  </si>
  <si>
    <t>Terminal reinvestment sensitivities: value per share, two-way data table (scenario driver E7 x case driver E8). Awards stay at each scenario's live settlement price. Weighted column includes the Moonshot</t>
  </si>
  <si>
    <t>Downside memo: data table, scenario driver = 4 (Commoditisation). Not a case, no weight</t>
  </si>
  <si>
    <t>Frontier split into layers. E base, F premium expands, G premium and share, H + bigger demand (= Premium Frontier), I demand only, J demand and share wins</t>
  </si>
  <si>
    <t>Weighted item: Moonshot = Volume leader + life sciences at 20x. The other two lines stay unweighted</t>
  </si>
  <si>
    <t>Start here</t>
  </si>
  <si>
    <t>Scenario selector: type 1 to 6</t>
  </si>
  <si>
    <t>1 Demand plateau, 2 Base, 3 Premium Frontier, 4 Commoditisation, 5 Share loss, 6 Volume leader. Drives every Live column.</t>
  </si>
  <si>
    <t>Weight</t>
  </si>
  <si>
    <t>$ per share</t>
  </si>
  <si>
    <t>vs $1.5T</t>
  </si>
  <si>
    <t>Weighted cases</t>
  </si>
  <si>
    <t>Moonshot (Volume leader + life sciences at 20x)</t>
  </si>
  <si>
    <t>Weighted headline</t>
  </si>
  <si>
    <t>Reference cases, plan case and memo (no weight)</t>
  </si>
  <si>
    <t>Combined downside: Commoditisation with Share loss's capture</t>
  </si>
  <si>
    <t>Key inputs, Base case. Change them on the sheet shown, then refresh</t>
  </si>
  <si>
    <t>Input</t>
  </si>
  <si>
    <t>Edit at</t>
  </si>
  <si>
    <t>What it does</t>
  </si>
  <si>
    <t>Top-rung (R3) price, % of the slot's wage, 2036</t>
  </si>
  <si>
    <t>Sets the market size. Solved so the 2036 market is 6% of core wages (research 3 / 5 / 9%). Does not update itself.</t>
  </si>
  <si>
    <t>Rest of core, share of core revenue, 2036</t>
  </si>
  <si>
    <t>International revenue is US revenue scaled by this ratio.</t>
  </si>
  <si>
    <t>Midpoint year of the adoption curve</t>
  </si>
  <si>
    <t>Half the 2026-36 move is done by this year. Fitted so FY2028 is near $195B. Range 2027-2033.</t>
  </si>
  <si>
    <t>Anthropic share of subscription spend, 2036</t>
  </si>
  <si>
    <t>Capture of subscription spend.</t>
  </si>
  <si>
    <t>Tier-1 share of consumption spend, 2036</t>
  </si>
  <si>
    <t>How much of consumption keeps a frontier premium.</t>
  </si>
  <si>
    <t>Anthropic share of tier-1 spend, 2036</t>
  </si>
  <si>
    <t>Capture of frontier spend. A judgement.</t>
  </si>
  <si>
    <t>Anthropic share of tier-2/3 spend, 2036</t>
  </si>
  <si>
    <t>Capture of lower-tier spend. A judgement.</t>
  </si>
  <si>
    <t>Long-run training, % of revenue</t>
  </si>
  <si>
    <t>Fixed dollars to FY2028, then glides to this share by FY2036.</t>
  </si>
  <si>
    <t>Channel fee load on consumption revenue, 2036</t>
  </si>
  <si>
    <t>Cloud marketplace fees.</t>
  </si>
  <si>
    <t>After the FY2037-41 growth fade.</t>
  </si>
  <si>
    <t>Sales to capital, FY2037-46</t>
  </si>
  <si>
    <t>Net reinvestment = change in revenue / this ratio.</t>
  </si>
  <si>
    <t>Tax rate, long run</t>
  </si>
  <si>
    <t>Cash tax rate after losses and credits.</t>
  </si>
  <si>
    <t>Cost of equity (risk-free + beta x equity risk premium)</t>
  </si>
  <si>
    <t>Flat FY2027-36 and terminal. Edit the three parts.</t>
  </si>
  <si>
    <t>How the model works</t>
  </si>
  <si>
    <t>Revenue = knowledge-work slots x spend per slot x Anthropic's share, US-led; international is US revenue scaled by an assumed ratio (Revenue Engine).</t>
  </si>
  <si>
    <t>Costs: serving by revenue stream, a training budget, and compute = the larger of demand and the contracted floor. SBC is a real cost (Model).</t>
  </si>
  <si>
    <t>Value: FCF FY2027-36, then FY2037-46 at sales to capital 3, then a perpetuity where growth adds no value (DCF). Commitments are operating cost, never also debt.</t>
  </si>
  <si>
    <t>Each case is a full run of the one model through data tables (Sensitivities). The headline weights five cases; Plateau and Premium Frontier are references.</t>
  </si>
  <si>
    <t>How to refresh. Every step is manual: nothing below runs itself</t>
  </si>
  <si>
    <t>Change an input, then re-run settlement prices until the gap is below tolerance, then the Goal Seeks. The full numbered list is on Checks, under Refresh checklist.</t>
  </si>
  <si>
    <t>Data tables recalculate by themselves when calculation is automatic. Leave the driver cells on Sensitivities and Reverse Valuation blank.</t>
  </si>
  <si>
    <t>Colour key and sources</t>
  </si>
  <si>
    <t>Input: type here</t>
  </si>
  <si>
    <t>Formula</t>
  </si>
  <si>
    <t>Link to another sheet</t>
  </si>
  <si>
    <t>Sheets</t>
  </si>
  <si>
    <t>Inputs (by topic and case); Filing Data (deal terms, cap table)</t>
  </si>
  <si>
    <t>Engine</t>
  </si>
  <si>
    <t>Revenue Engine, Model, DCF</t>
  </si>
  <si>
    <t>Outputs</t>
  </si>
  <si>
    <t>Support</t>
  </si>
  <si>
    <t>Compute Commitments, Dilution Calcs, Tax Schedule, Reverse Valuation, Historicals, Checks</t>
  </si>
  <si>
    <t>Refresh checklist. Run in this order after any input change, in Excel. Every step is manual.</t>
  </si>
  <si>
    <t>2. Settlement prices, on Inputs: paste values F27:J27 into F26:J26; L52 into L51; F52, G52, I52, J52 into F51, G51, I51, J51 (H51 is a link); K33 into K32. Recalculate and repeat until the gap is below tolerance (usually 2-4 passes).</t>
  </si>
  <si>
    <t xml:space="preserve">   Paste values only into those input cells. A formula column pasted over gives every scenario one price.</t>
  </si>
  <si>
    <t>3. If a fit moved, on Inputs: Base midpoint G16 (FY2028 near $195B) and R3 prices G14, H14, I14 (2036 market 6%, 9% and 3% of core wages; none of them updates itself), then repeat step 2.</t>
  </si>
  <si>
    <t>5. Training solve, on Sensitivities: set E480 to the Base long-run training share, Goal Seek E490 to $1.5T by changing E480, paste the result into F489, clear E480.</t>
  </si>
  <si>
    <t>6. Plan case: set Sensitivities E8 = 7; Goal Seek Inputs K201 to $1.5T by changing K200; round and paste into K200; clear E8.</t>
  </si>
  <si>
    <t>7. Recalculate fully and confirm: Checks F93 true, the drivers above blank, no error values.</t>
  </si>
  <si>
    <t>The input to refresh: paste the check row below as values here and repeat until the gap is below tolerance (Checks, refresh checklist).</t>
  </si>
  <si>
    <t>E. R3 price x margin grid, financing: need beyond the $42B Broadcom facility, US$B (orange = financing-contingent)</t>
  </si>
  <si>
    <t>F. WACC x growth grid: WACC (rows) x terminal growth (columns) -&gt; equity value, US$B (full re-run)</t>
  </si>
  <si>
    <t>G. WACC x growth grid per diluted share ($)</t>
  </si>
  <si>
    <t>Midpoint grid: midpoint year (rows) x rest of core / core revenue 2036 (columns; 40% of core = 42.6% on the filing's measure) -&gt; value per share</t>
  </si>
  <si>
    <t>Contents</t>
  </si>
  <si>
    <t>Same in every scenario. Q3 was +46.7% QoQ even though compute supply held it back ($5.0B of short-term compute, S-1/A p.138) and enforcement stepped up in Aug-Sep (S-1/A p.67). The model-release strength (models from the prior six months were over 80% of Q3 revenue, p.144) is taken to carry into Q4. Base +35% (was +20%).</t>
  </si>
  <si>
    <t>Same in every scenario. S-1/A: $213.8B can be terminated or depends on conditions before commencement. Nscale ($44.6B, counterparty financing), Lambda ($34.9B of $41.3B, facility lease) and a ~$37B contingent residual. The SpaceXAI cancellable remainder is the row below the next. Rationale: no basis - judgment. Most contingencies are counterparty financing or approvals; base assumes 4 in 5 proceed.</t>
  </si>
  <si>
    <t>Same in every scenario. Discretionary; a milestone needs the price above +50% on 90 of 120 trading days. Plateau: price never clears; base: once; Premium Frontier: twice.</t>
  </si>
  <si>
    <t>Research range for 2036: 3 / 5 / 9% of core wages (low / central / high); nothing supports 15% by 2036. US $/slot and % of US wage are inputs, partly billing-address artefacts; this core-wide figure is the demand claim. Structure: international revenue is US revenue scaled by the assumed regional share (Inputs section 1), and market spend is revenue / capture. So this % of core wages shows what the revenue implies; it does not independently confirm it.</t>
  </si>
  <si>
    <t>D. R3 price x margin grid per diluted share ($)</t>
  </si>
  <si>
    <t>Spend x share grid row driver: US 2036 spend per slot (2026$).</t>
  </si>
  <si>
    <t>Midpoint grid column driver.</t>
  </si>
  <si>
    <t>Tier-1 grid row driver.</t>
  </si>
  <si>
    <t>Spend x share grid column driver: Anthropic's 2036 consumption share (tier blend); scales E and F together.</t>
  </si>
  <si>
    <t>Live margin: paste into K65 at refresh</t>
  </si>
  <si>
    <t>Fixed margin axis: K65 is a pasted value (Base long-run margin, N65); the other columns step from it, so the axis does not move when a table substitutes the R3 price</t>
  </si>
  <si>
    <t>R3 price x margin grid: pasted margin axis = live long-run margin (Base; if it fails, re-paste K65 and recalculate)</t>
  </si>
  <si>
    <t>1. Set Start here E5 = 2 (Base): the training, reverse and plan solves only hold on Base. Blank drivers: Sensitivities E7:E12, E114:E119, E479:E480 and E495; Reverse Valuation E22. Calculation automatic including data tables.</t>
  </si>
  <si>
    <t>4. Reverse Valuation: on Sensitivities, paste values N65 into K65. Paste values Sensitivities I65:M65 into Reverse Valuation E24:I24. For each margin set Sensitivities E10, Goal Seek E13 to the target by changing E9, and paste E9 into E25:I25 ($1.5T) and E26:I26 ($2T). Clear E9 and E10.</t>
  </si>
  <si>
    <t>Plan case (stress case 7). Holds Base's settlement price; upper-bound effect about $0.15 per plan share</t>
  </si>
  <si>
    <t>Plan case: what you have to believe for $1.5T (at Base's settlement price)</t>
  </si>
  <si>
    <t>Volume leader: 20% (links to Base). The Demand only layer (I) and Volume leader (L) are now the same case.</t>
  </si>
  <si>
    <t>Volume leader: same fee load as Base and Demand only, because it no longer assumes share wins.</t>
  </si>
  <si>
    <t>Demand and share wins (reference, unweighted: 51% share)</t>
  </si>
  <si>
    <t>Your case switch (data-table input; leave blank)</t>
  </si>
  <si>
    <t>Base share of the core market, 2036 (pasted; re-paste from G160 at any refresh)</t>
  </si>
  <si>
    <t>Your case: consumption share implied by your share of all AI model spending</t>
  </si>
  <si>
    <t>Your case: one data table over the switch (E120). Inputs and results are on the Your case sheet</t>
  </si>
  <si>
    <t>Long-run EBIT margin (FY2036)</t>
  </si>
  <si>
    <t>Need beyond the $42B facility ($B)</t>
  </si>
  <si>
    <t>US market spend per slot, 2036</t>
  </si>
  <si>
    <t>S-1 balance at his 30 Jun date: he uses cash only ($112.4B)</t>
  </si>
  <si>
    <t>Those cells deduct the residual's cost at assumed terms (13% accretion, 85% conversion; Dilution Calcs) and depend on financing the S-1 does not show. All zeros means no cell in this grid needs money beyond the facility: even the lowest cell keeps about $133B of liquidity. Only much weaker revenue, as in the Demand plateau case, draws on the facility at all.</t>
  </si>
  <si>
    <t>Public version, 5 Nov 2026. To test your own assumptions, use the Your case sheet.</t>
  </si>
  <si>
    <t>Educational, not advice. Weights and most 2036 endpoints are judgements; sources are on Inputs.</t>
  </si>
  <si>
    <t>Your case (your own assumptions); Start here</t>
  </si>
  <si>
    <t>Summary, Sensitivities, Moonshot</t>
  </si>
  <si>
    <t>StreetCred - Anthropic valuation model</t>
  </si>
  <si>
    <t>Scenario drivers and assumptions, by topic. Blue on yellow = type here; black = formula. Filing and deal detail is on Filing Data. US$B unless the unit says otherwise. Educational model, not investment advice.</t>
  </si>
  <si>
    <t>Our judgement: base about $735 from the R3 price, solved</t>
  </si>
  <si>
    <t>Base mix 20/30/45 at 19.21% of wage = $735 per US slot: R1 $4, R2 $45, R3 $686, so the R3 price carries all the extra spend (R3 share of slots unchanged at 45%). US $/slot is partly a billing-address artefact (multinationals and resellers bill from the US while workers sit abroad; if the top five customers, about 25% of revenue, are all US-billed, international is 39% of the rest: 9,772 / 24,932, an upper bound). The demand check is market spend as % of CORE wages. Plateau $200; frontier $786; commoditisation $331.</t>
  </si>
  <si>
    <t>Base: solved so 2036 market = 6% of core wages; Premium and Volume leader: solved to 9%. Commoditisation: solved to 3% (K31); share loss = base; plateau: judgment</t>
  </si>
  <si>
    <t>Our judgement</t>
  </si>
  <si>
    <t>Base 26.1% -&gt; 40% of core = 29.4% -&gt; 42.6% on the filing's measure (international incl. non-core / total). 40% is the LOW END; the peer support is inference: Alphabet (US 48%) and Microsoft (US 51.5%) do not disclose core markets only, and the model's 15% non-core assumption applied to Alphabet implies about 48%. Filing: international 29% in 9M 2025 and 9M 2026. Structure: international revenue = US revenue x this assumed ratio, so rest-of-core headcount and wages feed the diagnostics, not the revenue.</t>
  </si>
  <si>
    <t>Progress = (1 - exp(-k x t)) / (1 - exp(-k x T)), t = years from the Q4 2026 exit, T to FY2036; k solved so half the move is done at the midpoint's mid-year, for any midpoint from 2027 to 2033 (validated).</t>
  </si>
  <si>
    <t>From 14.3% (Q3 2026 cost of revenue) on the existing 6-year glide. Frontier 10%.</t>
  </si>
  <si>
    <t>Our est.; Base and Premium 37% (research 35-48%)</t>
  </si>
  <si>
    <t>35% (commoditised 45%) + 6.0%, so the base FY2036 EBIT margin after SBC lands near 25%. Near-cost pricing against open-weight models. Base and Premium Frontier and Volume leader 37%; the downside cases keep their inputs.</t>
  </si>
  <si>
    <t>20% (commoditised 25%) + 6.0%, as above. Flat fee, usage-capped.</t>
  </si>
  <si>
    <t>Our judgement; Base 20% Our judgement; Plateau 11% and Commoditisation 8% Our est.</t>
  </si>
  <si>
    <t>Frontier 20% (arms race). Share loss keeps 18% (it does not follow Base to 20%). Plateau 11% (was 15%). Commoditisation 8% (was 15%): a one-year lag at about 2.8x a year saves about 64% of compute per run, 18% x 0.36 is about 6.5%, research puts a follower floor at 10-11%; 8% is a judgement.</t>
  </si>
  <si>
    <t>Five weighted cases, sum to 100%: Base 45%, Volume leader 20%, Moonshot 5% (upside 25%), Commoditisation 15%, Share loss 15% (downside 30%). Our judgement: recent share swings are the best evidence (Menlo, an Anthropic investor: OpenAI 50% to 27% of enterprise API spend, Anthropic 12% to 40%), and stickiness protects little while the market grows. A share loss and commoditised pricing could happen together; that combination is modelled separately, unweighted (combined downside memo). Our judgement: no weighted case has demand stalling outright; Commoditisation carries that risk. Plateau stays as the compute-commitment stress test; Premium Frontier keeps the layer table. Both still computed.</t>
  </si>
  <si>
    <t>Volume leader holds market share: Anthropic's share inputs equal Base's, so the 2036 share is about 44%, close to the 42% at the end of 2026. The difference from Base is a bigger market: 9% of core wages against 6%, through a higher R3 price and mix and more revenue outside the US. An earlier version had a 51% share, which we judged unrealistic; that run stays as the unweighted layer in column J.</t>
  </si>
  <si>
    <t>Our judgement (FY2033 / FY2032)</t>
  </si>
  <si>
    <t>Old G</t>
  </si>
  <si>
    <t>Our est. (test)</t>
  </si>
  <si>
    <t>Other costs 18% of revenue; research 13-22%, central 18%</t>
  </si>
  <si>
    <t>Our est. (~24%)</t>
  </si>
  <si>
    <t>Holding R1 at 55% (the FY-average calibration) makes the exit state infeasible: R1 55 + R2 33.5 + R3 20.6 = 109%. The FY2026-average solve implied R0 14%; the exit state sits further up the ladder.</t>
  </si>
  <si>
    <t>Earlier estimate ~$98 (Anthropic ~45% share).</t>
  </si>
  <si>
    <t>Wage-proportional spend per slot would put rest of core at about 61% of the US. Reference only: compare with the implied ratio on the Revenue Engine.</t>
  </si>
  <si>
    <t>Log-interpolated between FY2025 and the Q4 2026 exit. The driver is the international share.</t>
  </si>
  <si>
    <t>Our est. (committed capacity)</t>
  </si>
  <si>
    <t>Linear glide of the share after the fade year.</t>
  </si>
  <si>
    <t>Our est.; Base 11.5% (research 10-15%)</t>
  </si>
  <si>
    <t>Base 11.5%; plateau keeps 13%; frontier 11%; commoditisation and share loss 16% (cloud providers keep their leverage). One load input: no evidence separates a future share from a future rate. Press only, no filing: The Information via PYMNTS (18 Feb 2026) reports about half of Anthropic's gross profit on Amazon sales goes to Amazon, so serving and the fee would partly offset. Whether hosting cost sits inside the fee is unconfirmed.</t>
  </si>
  <si>
    <t>Flat rate FY2027-36 and terminal = rf + 1.0 x ERP = 4.94% + 4.75% = 9.69%. Was 1.3 (cash-corrected bottom-up peer median 1.37). Damodaran's 3 Nov 2026 post uses 9.74%.</t>
  </si>
  <si>
    <t>Sensitivity only</t>
  </si>
  <si>
    <t>Equal to the mature cost of equity from FY2047: growth after FY2046 adds no value. FY2037-46 reinvestment is change in revenue / sales to capital (Inputs section 10), not g / RONIC. Follows the live rate in the WACC grid.</t>
  </si>
  <si>
    <t>Damodaran's ratio</t>
  </si>
  <si>
    <t>Goal Seek: Model equity = $1.5T with Sensitivities E8 = 7. Unweighted. Holds Base's award settlement price, not its own (upper-bound effect about $0.15 per plan share, on immediate tax use; actual timing lowers it). Reverse valuation (Model F11) still uses the shared curve, so its FY2028 overshoots.</t>
  </si>
  <si>
    <t>External: SpaceX S-1/A No.2, May 2029</t>
  </si>
  <si>
    <t>External: SpaceX S-1/A No.2</t>
  </si>
  <si>
    <t>Checked against the primary filing.</t>
  </si>
  <si>
    <t>Simple reverse chain</t>
  </si>
  <si>
    <t>Range 10-12%. The model's flat cost of equity (9.69%) sits below it.</t>
  </si>
  <si>
    <t>Set 5% to see the effect: it adds 1-2 points</t>
  </si>
  <si>
    <t>Damodaran's published model (his spreadsheet, 28 Oct 2026)</t>
  </si>
  <si>
    <t>His spreadsheet; his post says $1.475T</t>
  </si>
  <si>
    <t>Damodaran's spreadsheet, 28 Oct 2026 (External)</t>
  </si>
  <si>
    <t>Replaces the lag. Exit share to the 2036 input on the shared progress curve.</t>
  </si>
  <si>
    <t>Earlier base ~$98 (2026) -&gt; scenario endpoint.</t>
  </si>
  <si>
    <t>x2 in 2027 and x1.6 in 2028 (committed, every scenario); then the share of revenue glides linearly from its FY2028 level to G by the year below (fading with revenue growth by 2032 would make training 71% of revenue in 2031).</t>
  </si>
  <si>
    <t>The FY2047 step-down is the convergence assumption, not a forecast: after FY2046 RONIC = the mature cost of equity, so growth adds no value in perpetuity.</t>
  </si>
  <si>
    <t>Memo: straight-line firm take-or-pay per year, principal only (9fin method)</t>
  </si>
  <si>
    <t>Common press-style figure (~$88.6). Not our valuation denominator.</t>
  </si>
  <si>
    <t>Amazon stake on the 16.94B anchor (16.94B basis)</t>
  </si>
  <si>
    <t>~20.6% uncapped.</t>
  </si>
  <si>
    <t>A. Simple five-line chain (closed form)</t>
  </si>
  <si>
    <t>32-51% at $1.5T; 39.5-59.7% at $2T (no dilution)</t>
  </si>
  <si>
    <t>$1.5T: required 5-yr CAGR from Q3 run-rate (from the Q3 run-rate)</t>
  </si>
  <si>
    <t>$2T: required 5-yr CAGR from Q3 run-rate (from the Q3 run-rate)</t>
  </si>
  <si>
    <t>C. Damodaran reconciliation (his 28 Oct spreadsheet, External)</t>
  </si>
  <si>
    <t>A 'possible double count'. Not established without his lease-adjusted operating income and reinvestment.</t>
  </si>
  <si>
    <t>Free tier at most $640M in H1'26</t>
  </si>
  <si>
    <t>Reconciles the '$134B' in circulation</t>
  </si>
  <si>
    <t>9fin (~$66B a year)</t>
  </si>
  <si>
    <t>Shares: Amazon uncapped stake ~20.6% on the anchor</t>
  </si>
  <si>
    <t>~20.6%</t>
  </si>
  <si>
    <t>Reverse: simple chain, low end 31.7% at $1.5T</t>
  </si>
  <si>
    <t>Reverse Valuation section A</t>
  </si>
  <si>
    <t>Reverse: simple chain, high end 50.8% at $1.5T</t>
  </si>
  <si>
    <t>Your case: what do you have to believe?</t>
  </si>
  <si>
    <t>Change the four yellow cells. The valuation below updates by itself. Everything else stays at our base case. Educational analysis, not investment advice.</t>
  </si>
  <si>
    <t>Your assumptions</t>
  </si>
  <si>
    <t>Yours</t>
  </si>
  <si>
    <t>Today</t>
  </si>
  <si>
    <t>Our base case</t>
  </si>
  <si>
    <t>AI spend per US knowledge worker, $ a month, 2036 (2026 dollars)</t>
  </si>
  <si>
    <t>Anthropic's share of all AI model spending, 2036</t>
  </si>
  <si>
    <t>Long-run operating margin, 2036 (leave blank to let the model work it out)</t>
  </si>
  <si>
    <t>Discount rate (cost of equity)</t>
  </si>
  <si>
    <t>Q3 2026: -3%</t>
  </si>
  <si>
    <t>All AI vendors, our estimate. As a share of knowledge workers' pay: $368 is about 3%, $735 about 6%.</t>
  </si>
  <si>
    <t>Our estimate for the end of 2026 is 42%. In our share-loss case it falls to 23%. Allowed range 5% to 65%.</t>
  </si>
  <si>
    <t>After stock pay. Our weighted cases run from 19% to 26%.</t>
  </si>
  <si>
    <t>Damodaran used 9.74%. Each extra point takes roughly $10 off our base value per share.</t>
  </si>
  <si>
    <t>What that implies</t>
  </si>
  <si>
    <t>Value per share</t>
  </si>
  <si>
    <t>Revenue in 2031 ($B)</t>
  </si>
  <si>
    <t>Revenue in 2036 ($B)</t>
  </si>
  <si>
    <t>All AI model spending as a share of knowledge workers' pay, 2036</t>
  </si>
  <si>
    <t>Long-run operating margin, 2036</t>
  </si>
  <si>
    <t>Lowest cash before any new financing ($B)</t>
  </si>
  <si>
    <t>For scale: all of Alphabet's revenue, Q3 2026 x 4, is about $510B.</t>
  </si>
  <si>
    <t>How to read this</t>
  </si>
  <si>
    <t>Same model, four changes. Timing, costs, share count and everything else stay at our base case, so this is a quick test, not a full scenario.</t>
  </si>
  <si>
    <t>Our big-market case differs in more ways than these four cells, including more revenue outside the US, so typing its numbers here will not reproduce its value exactly.</t>
  </si>
  <si>
    <t>Values are at 31 Dec 2026, before any money raised in the offering. The IPO price and size are not in the filing; the $1.5T and $2T are press reports.</t>
  </si>
  <si>
    <t>To go further, change the inputs directly on the Inputs sheet (Start here explains how). The full cases are on Summary. This model will change as new filings arrive.</t>
  </si>
  <si>
    <t>Small effects are left out at high values: at about $115 a share, awards settling at the higher price add about $0.80, while extra Public Benefit shares, which only issue well above the IPO price, would take off about 2%.</t>
  </si>
  <si>
    <t>What $1.5T and $2T require. Section A is a simple five-line cross-check. US$B.</t>
  </si>
  <si>
    <t>Derived $637.0B (Tunguz)</t>
  </si>
  <si>
    <t>Q4 stub x 4 = $88.8B, ~60% above the FY2026 average ($55.4B, Model F134), which stays actuals + stub. Splits 70.6/29.4 and 79/21 applied to the exit state (Q4 2026 exit-state calibration).</t>
  </si>
  <si>
    <t>Plateau: same other-cost share as Base on a quarter of the revenue ignores lost scale. Set so the long-run EBIT margin lands near 30%. Oracle 30.6%, Qualcomm 27.9%, Google Cloud 24%, AWS about 35% (approximate).</t>
  </si>
  <si>
    <t>Our est. (solved)</t>
  </si>
  <si>
    <t>Defensible start 12-30%. Anchors: Damodaran 15% override and 24% year-10 ROIC; sector ROC 26-29% (Jan 2026, not R&amp;D-capitalised).</t>
  </si>
  <si>
    <t>Training is the biggest unproven assumption in the margin. Not in any scenario.</t>
  </si>
  <si>
    <t>Zero in every scenario. Scenario risk is carried by the weighted downside cases; adding it to the discount rate as well would count it twice. Kept as a lever for sensitivity only.</t>
  </si>
  <si>
    <t>7 rows: base -3 to +3 steps of the US R3 price in 2036 (base 19.2% of wage).</t>
  </si>
  <si>
    <t>4.94% + 1.25 x 4.20% (Damodaran ERP and sector beta), the earlier base, shown as stress case 5. Summary shows the live case at this rate.</t>
  </si>
  <si>
    <t>Base: fitted so FY2028 = ~$195B with the 2036 market at 6% of core wages (fitted 4 Nov 2026). One midpoint and the existing curve deliver the slower fade: shape unchanged. Plateau: judgment</t>
  </si>
  <si>
    <t>Fitted to External targets (fitted 4 Nov 2026)</t>
  </si>
  <si>
    <t>It has to sit somewhere for layer 4 to equal Frontier, so it goes with bigger demand. Premium and share stays at the base count.</t>
  </si>
  <si>
    <t>Own stated input. 3% is the research low. It will NOT update itself if the demand view changes: re-solve I14 or restate K31.</t>
  </si>
  <si>
    <t>100% in every scenario. The S-1/A files the aggregate itself ($895.4B), and its contingent part is carried separately.</t>
  </si>
  <si>
    <t>Zero in every scenario. Failure risk is carried by the weighted downside cases instead. The recovery inputs below now have no effect.</t>
  </si>
  <si>
    <t>RSUs and non-qualified options are deductible at settlement value; incentive stock options generally are not. The S-1 gives no ISO/NSO split. A judgement call. RSUs (deductible) are most of the award value; ISOs are not deductible and the S-1 gives no split.</t>
  </si>
  <si>
    <t>933.7M Class N reserved for matching employees' equity donations at 30 Jun (F-51); ~59M issued so far in 2026. Issued shares dilute; the charge is non-cash, so it is not in operating cost. ~59M of 933.7M issued so far in 2026; half assumed to be issued eventually.</t>
  </si>
  <si>
    <t>Damodaran 3 Nov 2026: 9.74% cost of capital, with failure risk carried separately, not in the rate (External). Our model carries it in the scenario weights.</t>
  </si>
  <si>
    <t>Derived (calc)' means worked out on Compute Commitments from the inputs below (e.g. lease interest, SpaceXAI tranches, the residual).</t>
  </si>
  <si>
    <t>Inside the F-51 awards line, so inside the anchor.</t>
  </si>
  <si>
    <t>Value = (FY2036 EBIT x multiple x discount factor to the valuation date - PV of capital) / diluted shares. EBIT before FY2036 is ignored and no second compute cost is added.</t>
  </si>
  <si>
    <t>Research counts cash only (milestones, fees, royalties, asset sales) against about $444B of 2036 R&amp;D, not drug sales</t>
  </si>
  <si>
    <t>Our est. Gartner: IT services above $1.87T in 2026, and that includes IaaS; 3-7% a year gives $2.5-3.5T</t>
  </si>
  <si>
    <t>Assumption (inference). Removed to avoid counting it twice</t>
  </si>
  <si>
    <t>Our est. Research: order of $30-45T, low confidence</t>
  </si>
  <si>
    <t>Our est. Research cross-check used 1%</t>
  </si>
  <si>
    <t>Our est. The core engine runs 6% of wages in Base and 9% in Premium Frontier and Volume leader; research 3-8%</t>
  </si>
  <si>
    <t>Our est. Research 15-40%</t>
  </si>
  <si>
    <t>Source labels: S-1 or S-1/A p.N = stated in the filing; Derived = our arithmetic; External = press, other filings, commentators; Our est. = a judgement; Research = our desk research.</t>
  </si>
  <si>
    <t>Educational analysis, not investment advice. Weights and headline: set 5 Nov 2026. Filing figures are from the S-1/A (financials to 30 Sep 2026); price and deal size are still blank.</t>
  </si>
  <si>
    <t>What it is worth (weights: set 5 Nov 2026)</t>
  </si>
  <si>
    <t>Probability weight in the headline, set 5 Nov 2026. Volume leader and Moonshot weights are in section 2</t>
  </si>
  <si>
    <t>set 5 Nov 2026</t>
  </si>
  <si>
    <t>Probability weight, Volume leader, set 5 Nov 2026</t>
  </si>
  <si>
    <t>Probability weight, Moonshot, set 5 Nov 2026: Volume leader + life sciences at 20x, value from the Moonshot sheet</t>
  </si>
  <si>
    <t>Live case and all cases, in one place. Weights and headline: set 5 Nov 2026. Figures come from data tables on Sensitivities.</t>
  </si>
  <si>
    <t>Weight in the headline, set 5 Nov 2026</t>
  </si>
  <si>
    <t>Headline: set 5 Nov 2026</t>
  </si>
  <si>
    <t>Headline, set 5 Nov 2026: weighted value per share, rounded ($) / range / plan case</t>
  </si>
  <si>
    <t>Weights: set 5 Nov 2026, a judgement. Five weighted cases: Moonshot, Volume leader, Base, Share loss, Commoditisation. No weighted case has demand stalling outright; Commoditisation carries that risk. Share loss and Commoditisation 15% each: recent share swings are the best evidence. A share loss with commoditised pricing could happen together; that combination is modelled separately, unweighted (combined downside memo). Moonshot = Volume leader + life sciences at 20x. REFERENCE CASES at weight 0, still computed: Demand plateau (the compute-commitment stress test) and Premium Frontier (keeps the layer table). The plan case, Premium and share, the layers, and services and robotics on the Moonshot sheet are not weighted.</t>
  </si>
  <si>
    <t>Weighted value with the Moonshot. Live weights: set 5 Nov 2026. Moonshot value: Volume leader + life sciences, from the Moonshot sheet</t>
  </si>
  <si>
    <t>Live, set 5 Nov 2026: five weighted cases, Moonshot at 20x</t>
  </si>
  <si>
    <t>What you have to believe. Our est.; every blue cell is editable. Separate from the DCF: nothing here feeds it. One item is weighted at 5%: set 5 Nov 2026.</t>
  </si>
  <si>
    <t>Probability weight (set 5 Nov 2026)</t>
  </si>
  <si>
    <t>Our big-market case (Volume leader)</t>
  </si>
  <si>
    <t>Difference from a $1.5 trillion IPO (press reports)</t>
  </si>
  <si>
    <t>Difference from a $2 trillion IPO (press reports)</t>
  </si>
  <si>
    <t>Lowest and highest weighted case, per share, rounded to the nearest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</si>
</sst>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164" formatCode="_(* #,##0_);_(* \(#,##0\);_(* &quot;   -&quot;?_);_(@_)"/>
    <numFmt numFmtId="165" formatCode="_(* #,##0.00_);_(* \(#,##0.00\);_(* &quot;   -&quot;?_);_(@_)"/>
    <numFmt numFmtId="166" formatCode="_(* #,##0.00%;_(* \(#,##0.00\)%;_(* &quot;   -&quot;?_)"/>
    <numFmt numFmtId="167" formatCode="_(* #,##0.00\x;_(* \(#,##0.00\)\x;_(* &quot;   -&quot;?_)"/>
    <numFmt numFmtId="168" formatCode="_(* #,##0.0_);_(* \(#,##0.0\);_(* &quot;   -&quot;?_);_(@_)"/>
    <numFmt numFmtId="169" formatCode="_(* #,##0.0000_);_(* \(#,##0.0000\);_(* &quot;   -&quot;?_);_(@_)"/>
    <numFmt numFmtId="170" formatCode="0.00_)"/>
    <numFmt numFmtId="171" formatCode="_(* #,##0.000_);_(* \(#,##0.000\);_(* &quot;   -&quot;?_);_(@_)"/>
    <numFmt numFmtId="172" formatCode="0.000000"/>
    <numFmt numFmtId="173" formatCode="&quot;FY&quot;0;;&quot;none&quot;"/>
    <numFmt numFmtId="174" formatCode="0.000"/>
    <numFmt numFmtId="175" formatCode="&quot;$&quot;#,##0"/>
    <numFmt numFmtId="176" formatCode="&quot;$&quot;#,##0.00"/>
    <numFmt numFmtId="177" formatCode="0.0000"/>
    <numFmt numFmtId="178" formatCode="#,##0.0"/>
    <numFmt numFmtId="179" formatCode="0.0%"/>
    <numFmt numFmtId="180" formatCode="0.0"/>
    <numFmt numFmtId="181" formatCode="&quot;Exit &quot;0"/>
    <numFmt numFmtId="182" formatCode="&quot;$&quot;0.00"/>
    <numFmt numFmtId="183" formatCode="0.0&quot;x&quot;"/>
    <numFmt numFmtId="184" formatCode="0.00&quot;x&quot;"/>
    <numFmt numFmtId="185" formatCode="#,##0.000"/>
    <numFmt numFmtId="186" formatCode="#,##0.000;\(#,##0.000\)"/>
    <numFmt numFmtId="187" formatCode="#,##0.0;\(#,##0.0\);&quot;-&quot;"/>
    <numFmt numFmtId="188" formatCode="&quot;$&quot;#,##0&quot;B&quot;"/>
    <numFmt numFmtId="189" formatCode="\+0.0%;\-0.0%"/>
  </numFmts>
  <fonts count="28" x14ac:knownFonts="1">
    <font>
      <sz val="11"/>
      <color theme="1"/>
      <name val="Calibri"/>
      <family val="2"/>
      <scheme val="minor"/>
    </font>
    <font>
      <sz val="10"/>
      <color rgb="FF000000"/>
      <name val="Arial"/>
      <family val="2"/>
    </font>
    <font>
      <sz val="10"/>
      <color rgb="FF008000"/>
      <name val="Arial"/>
      <family val="2"/>
    </font>
    <font>
      <sz val="10"/>
      <color rgb="FF0000FF"/>
      <name val="Arial"/>
      <family val="2"/>
    </font>
    <font>
      <b/>
      <sz val="10"/>
      <color rgb="FF000000"/>
      <name val="Arial"/>
      <family val="2"/>
    </font>
    <font>
      <b/>
      <sz val="10"/>
      <color rgb="FFFFFFFF"/>
      <name val="Arial"/>
      <family val="2"/>
    </font>
    <font>
      <i/>
      <sz val="10"/>
      <color rgb="FF000000"/>
      <name val="Arial"/>
      <family val="2"/>
    </font>
    <font>
      <sz val="10"/>
      <color theme="1"/>
      <name val="Arial"/>
      <family val="2"/>
    </font>
    <font>
      <i/>
      <sz val="10"/>
      <color rgb="FF808080"/>
      <name val="Arial"/>
      <family val="2"/>
    </font>
    <font>
      <i/>
      <sz val="10"/>
      <color rgb="FF595959"/>
      <name val="Arial"/>
      <family val="2"/>
    </font>
    <font>
      <b/>
      <i/>
      <sz val="10"/>
      <color rgb="FFFFFFFF"/>
      <name val="Arial"/>
      <family val="2"/>
    </font>
    <font>
      <b/>
      <sz val="10"/>
      <color rgb="FF008000"/>
      <name val="Arial"/>
      <family val="2"/>
    </font>
    <font>
      <b/>
      <sz val="14"/>
      <color rgb="FF000000"/>
      <name val="Arial"/>
      <family val="2"/>
    </font>
    <font>
      <u/>
      <sz val="11"/>
      <color theme="10"/>
      <name val="Calibri"/>
      <family val="2"/>
      <scheme val="minor"/>
    </font>
    <font>
      <u/>
      <sz val="10"/>
      <color rgb="FF0000C0"/>
      <name val="Arial"/>
      <family val="2"/>
    </font>
    <font>
      <b/>
      <sz val="14"/>
      <color theme="1"/>
      <name val="Arial"/>
      <family val="2"/>
    </font>
    <font>
      <b/>
      <sz val="11"/>
      <color theme="1"/>
      <name val="Arial"/>
      <family val="2"/>
    </font>
    <font>
      <b/>
      <i/>
      <sz val="11"/>
      <color rgb="FF000000"/>
      <name val="Arial"/>
      <family val="2"/>
    </font>
    <font>
      <b/>
      <sz val="10"/>
      <name val="Arial"/>
      <family val="2"/>
    </font>
    <font>
      <i/>
      <sz val="10"/>
      <name val="Arial"/>
      <family val="2"/>
    </font>
    <font>
      <b/>
      <sz val="14"/>
      <name val="Arial"/>
      <family val="2"/>
    </font>
    <font>
      <b/>
      <i/>
      <sz val="11"/>
      <name val="Arial"/>
      <family val="2"/>
    </font>
    <font>
      <b/>
      <sz val="10"/>
      <color rgb="FF0000FF"/>
      <name val="Arial"/>
      <family val="2"/>
    </font>
    <font>
      <i/>
      <sz val="10"/>
      <color theme="1"/>
      <name val="Arial"/>
      <family val="2"/>
    </font>
    <font>
      <b/>
      <sz val="9"/>
      <color indexed="81"/>
      <name val="Tahoma"/>
      <charset val="1"/>
    </font>
    <font>
      <b/>
      <sz val="10"/>
      <color theme="1"/>
      <name val="Arial"/>
      <family val="2"/>
    </font>
    <font>
      <b/>
      <sz val="12"/>
      <color theme="1"/>
      <name val="Arial"/>
      <family val="2"/>
    </font>
    <font>
      <sz val="10"/>
      <color rgb="FF595959"/>
      <name val="Arial"/>
      <family val="2"/>
    </font>
  </fonts>
  <fills count="12">
    <fill>
      <patternFill patternType="none"/>
    </fill>
    <fill>
      <patternFill patternType="gray125"/>
    </fill>
    <fill>
      <patternFill patternType="solid">
        <fgColor rgb="FFFFFFCC"/>
      </patternFill>
    </fill>
    <fill>
      <patternFill patternType="solid">
        <fgColor rgb="FFE8E8E8"/>
      </patternFill>
    </fill>
    <fill>
      <patternFill patternType="solid">
        <fgColor rgb="FFDDEBF7"/>
      </patternFill>
    </fill>
    <fill>
      <patternFill patternType="solid">
        <fgColor rgb="FFCAEDFB"/>
      </patternFill>
    </fill>
    <fill>
      <patternFill patternType="solid">
        <fgColor rgb="FF002060"/>
      </patternFill>
    </fill>
    <fill>
      <patternFill patternType="solid">
        <fgColor rgb="FFF2F2F2"/>
      </patternFill>
    </fill>
    <fill>
      <patternFill patternType="solid">
        <fgColor rgb="FFFFFFCC"/>
        <bgColor indexed="64"/>
      </patternFill>
    </fill>
    <fill>
      <patternFill patternType="solid">
        <fgColor rgb="FF002060"/>
        <bgColor indexed="64"/>
      </patternFill>
    </fill>
    <fill>
      <patternFill patternType="solid">
        <fgColor rgb="FFDDEBF7"/>
        <bgColor indexed="64"/>
      </patternFill>
    </fill>
    <fill>
      <patternFill patternType="solid">
        <fgColor rgb="FFCAEDFB"/>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top/>
      <bottom style="thin">
        <color indexed="64"/>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top/>
      <bottom/>
      <diagonal/>
    </border>
    <border>
      <left/>
      <right/>
      <top style="thin">
        <color rgb="FFD9D9D9"/>
      </top>
      <bottom style="thin">
        <color rgb="FFD9D9D9"/>
      </bottom>
      <diagonal/>
    </border>
    <border>
      <left/>
      <right/>
      <top style="thin">
        <color rgb="FFD9D9D9"/>
      </top>
      <bottom/>
      <diagonal/>
    </border>
  </borders>
  <cellStyleXfs count="2">
    <xf numFmtId="0" fontId="0" fillId="0" borderId="0"/>
    <xf numFmtId="0" fontId="13" fillId="0" borderId="0" applyNumberFormat="0" applyFill="0" applyBorder="0" applyAlignment="0" applyProtection="0"/>
  </cellStyleXfs>
  <cellXfs count="368">
    <xf numFmtId="0" fontId="0" fillId="0" borderId="0" xfId="0"/>
    <xf numFmtId="165" fontId="2" fillId="0" borderId="0" xfId="0" applyNumberFormat="1" applyFont="1"/>
    <xf numFmtId="0" fontId="2" fillId="0" borderId="0" xfId="0" applyFont="1" applyAlignment="1">
      <alignment vertical="top"/>
    </xf>
    <xf numFmtId="165" fontId="1" fillId="0" borderId="0" xfId="0" applyNumberFormat="1" applyFont="1" applyAlignment="1">
      <alignment vertical="top"/>
    </xf>
    <xf numFmtId="0" fontId="1" fillId="0" borderId="0" xfId="0" applyFont="1"/>
    <xf numFmtId="0" fontId="4" fillId="0" borderId="9" xfId="0" applyFont="1" applyBorder="1"/>
    <xf numFmtId="0" fontId="5" fillId="9" borderId="0" xfId="0" applyFont="1" applyFill="1"/>
    <xf numFmtId="0" fontId="6" fillId="0" borderId="0" xfId="0" applyFont="1"/>
    <xf numFmtId="164" fontId="3" fillId="8" borderId="10" xfId="0" applyNumberFormat="1" applyFont="1" applyFill="1" applyBorder="1"/>
    <xf numFmtId="1" fontId="3" fillId="8" borderId="10" xfId="0" applyNumberFormat="1" applyFont="1" applyFill="1" applyBorder="1"/>
    <xf numFmtId="0" fontId="7" fillId="0" borderId="0" xfId="0" applyFont="1"/>
    <xf numFmtId="0" fontId="4" fillId="0" borderId="0" xfId="0" applyFont="1"/>
    <xf numFmtId="0" fontId="7" fillId="0" borderId="11" xfId="0" applyFont="1" applyBorder="1"/>
    <xf numFmtId="0" fontId="2" fillId="0" borderId="0" xfId="0" applyFont="1"/>
    <xf numFmtId="168" fontId="2" fillId="0" borderId="0" xfId="0" applyNumberFormat="1" applyFont="1"/>
    <xf numFmtId="170" fontId="2" fillId="0" borderId="0" xfId="0" applyNumberFormat="1" applyFont="1"/>
    <xf numFmtId="168" fontId="2" fillId="0" borderId="0" xfId="0" applyNumberFormat="1" applyFont="1" applyAlignment="1">
      <alignment vertical="top"/>
    </xf>
    <xf numFmtId="170" fontId="2" fillId="0" borderId="0" xfId="0" applyNumberFormat="1" applyFont="1" applyAlignment="1">
      <alignment vertical="top"/>
    </xf>
    <xf numFmtId="166" fontId="2" fillId="0" borderId="0" xfId="0" applyNumberFormat="1" applyFont="1"/>
    <xf numFmtId="164" fontId="2" fillId="0" borderId="0" xfId="0" applyNumberFormat="1" applyFont="1"/>
    <xf numFmtId="167" fontId="2" fillId="0" borderId="0" xfId="0" applyNumberFormat="1" applyFont="1"/>
    <xf numFmtId="164" fontId="2" fillId="0" borderId="0" xfId="0" applyNumberFormat="1" applyFont="1" applyAlignment="1">
      <alignment vertical="top"/>
    </xf>
    <xf numFmtId="166" fontId="2" fillId="0" borderId="0" xfId="0" applyNumberFormat="1" applyFont="1" applyAlignment="1">
      <alignment vertical="top"/>
    </xf>
    <xf numFmtId="0" fontId="7" fillId="0" borderId="0" xfId="0" applyFont="1" applyAlignment="1">
      <alignment vertical="top"/>
    </xf>
    <xf numFmtId="0" fontId="4" fillId="0" borderId="9" xfId="0" applyFont="1" applyBorder="1" applyAlignment="1">
      <alignment vertical="top"/>
    </xf>
    <xf numFmtId="0" fontId="5" fillId="9" borderId="0" xfId="0" applyFont="1" applyFill="1" applyAlignment="1">
      <alignment vertical="top"/>
    </xf>
    <xf numFmtId="0" fontId="7" fillId="9" borderId="0" xfId="0" applyFont="1" applyFill="1" applyAlignment="1">
      <alignment vertical="top"/>
    </xf>
    <xf numFmtId="0" fontId="7" fillId="9" borderId="0" xfId="0" applyFont="1" applyFill="1" applyAlignment="1">
      <alignment vertical="top" wrapText="1"/>
    </xf>
    <xf numFmtId="0" fontId="4" fillId="10" borderId="0" xfId="0" applyFont="1" applyFill="1" applyAlignment="1">
      <alignment vertical="top"/>
    </xf>
    <xf numFmtId="0" fontId="4" fillId="10" borderId="0" xfId="0" applyFont="1" applyFill="1" applyAlignment="1">
      <alignment horizontal="right" vertical="top"/>
    </xf>
    <xf numFmtId="0" fontId="4" fillId="10" borderId="0" xfId="0" applyFont="1" applyFill="1" applyAlignment="1">
      <alignment horizontal="right" vertical="top" wrapText="1"/>
    </xf>
    <xf numFmtId="0" fontId="1" fillId="0" borderId="0" xfId="0" applyFont="1" applyAlignment="1">
      <alignment vertical="top"/>
    </xf>
    <xf numFmtId="0" fontId="3" fillId="8" borderId="12" xfId="0" applyFont="1" applyFill="1" applyBorder="1" applyAlignment="1">
      <alignment vertical="top"/>
    </xf>
    <xf numFmtId="168" fontId="3" fillId="8" borderId="12" xfId="0" applyNumberFormat="1" applyFont="1" applyFill="1" applyBorder="1" applyAlignment="1">
      <alignment vertical="top"/>
    </xf>
    <xf numFmtId="170" fontId="3" fillId="8" borderId="12" xfId="0" applyNumberFormat="1" applyFont="1" applyFill="1" applyBorder="1" applyAlignment="1">
      <alignment vertical="top"/>
    </xf>
    <xf numFmtId="170" fontId="3" fillId="8" borderId="10" xfId="0" applyNumberFormat="1" applyFont="1" applyFill="1" applyBorder="1" applyAlignment="1">
      <alignment vertical="top"/>
    </xf>
    <xf numFmtId="0" fontId="1" fillId="0" borderId="0" xfId="0" applyFont="1" applyAlignment="1">
      <alignment vertical="top" wrapText="1"/>
    </xf>
    <xf numFmtId="168" fontId="3" fillId="8" borderId="7" xfId="0" applyNumberFormat="1" applyFont="1" applyFill="1" applyBorder="1" applyAlignment="1">
      <alignment vertical="top"/>
    </xf>
    <xf numFmtId="0" fontId="3" fillId="8" borderId="10" xfId="0" applyFont="1" applyFill="1" applyBorder="1" applyAlignment="1">
      <alignment vertical="top"/>
    </xf>
    <xf numFmtId="0" fontId="8" fillId="0" borderId="0" xfId="0" applyFont="1" applyAlignment="1">
      <alignment horizontal="right" vertical="top"/>
    </xf>
    <xf numFmtId="170" fontId="3" fillId="8" borderId="7" xfId="0" applyNumberFormat="1" applyFont="1" applyFill="1" applyBorder="1" applyAlignment="1">
      <alignment vertical="top"/>
    </xf>
    <xf numFmtId="170" fontId="3" fillId="8" borderId="1" xfId="0" applyNumberFormat="1" applyFont="1" applyFill="1" applyBorder="1" applyAlignment="1">
      <alignment vertical="top"/>
    </xf>
    <xf numFmtId="0" fontId="1" fillId="0" borderId="0" xfId="0" quotePrefix="1" applyFont="1" applyAlignment="1">
      <alignment vertical="top" wrapText="1"/>
    </xf>
    <xf numFmtId="0" fontId="3" fillId="8" borderId="1" xfId="0" applyFont="1" applyFill="1" applyBorder="1" applyAlignment="1">
      <alignment vertical="top"/>
    </xf>
    <xf numFmtId="0" fontId="9" fillId="0" borderId="0" xfId="0" quotePrefix="1" applyFont="1" applyAlignment="1">
      <alignment vertical="top"/>
    </xf>
    <xf numFmtId="0" fontId="7" fillId="0" borderId="0" xfId="0" applyFont="1" applyAlignment="1">
      <alignment vertical="top" wrapText="1"/>
    </xf>
    <xf numFmtId="0" fontId="4" fillId="11" borderId="0" xfId="0" applyFont="1" applyFill="1" applyAlignment="1">
      <alignment vertical="top"/>
    </xf>
    <xf numFmtId="0" fontId="7" fillId="11" borderId="0" xfId="0" applyFont="1" applyFill="1" applyAlignment="1">
      <alignment vertical="top"/>
    </xf>
    <xf numFmtId="0" fontId="7" fillId="11" borderId="0" xfId="0" applyFont="1" applyFill="1" applyAlignment="1">
      <alignment vertical="top" wrapText="1"/>
    </xf>
    <xf numFmtId="168" fontId="3" fillId="8" borderId="10" xfId="0" applyNumberFormat="1" applyFont="1" applyFill="1" applyBorder="1" applyAlignment="1">
      <alignment vertical="top"/>
    </xf>
    <xf numFmtId="166" fontId="3" fillId="8" borderId="10" xfId="0" applyNumberFormat="1" applyFont="1" applyFill="1" applyBorder="1" applyAlignment="1">
      <alignment vertical="top"/>
    </xf>
    <xf numFmtId="164" fontId="3" fillId="8" borderId="10" xfId="0" applyNumberFormat="1" applyFont="1" applyFill="1" applyBorder="1" applyAlignment="1">
      <alignment vertical="top"/>
    </xf>
    <xf numFmtId="168" fontId="3" fillId="8" borderId="1" xfId="0" applyNumberFormat="1" applyFont="1" applyFill="1" applyBorder="1" applyAlignment="1">
      <alignment vertical="top"/>
    </xf>
    <xf numFmtId="0" fontId="6" fillId="0" borderId="0" xfId="0" applyFont="1" applyAlignment="1">
      <alignment vertical="top"/>
    </xf>
    <xf numFmtId="165" fontId="3" fillId="8" borderId="10" xfId="0" applyNumberFormat="1" applyFont="1" applyFill="1" applyBorder="1" applyAlignment="1">
      <alignment vertical="top"/>
    </xf>
    <xf numFmtId="167" fontId="3" fillId="8" borderId="10" xfId="0" applyNumberFormat="1" applyFont="1" applyFill="1" applyBorder="1" applyAlignment="1">
      <alignment vertical="top"/>
    </xf>
    <xf numFmtId="166" fontId="3" fillId="8" borderId="12" xfId="0" applyNumberFormat="1" applyFont="1" applyFill="1" applyBorder="1" applyAlignment="1">
      <alignment vertical="top"/>
    </xf>
    <xf numFmtId="164" fontId="3" fillId="8" borderId="12" xfId="0" applyNumberFormat="1" applyFont="1" applyFill="1" applyBorder="1" applyAlignment="1">
      <alignment vertical="top"/>
    </xf>
    <xf numFmtId="167" fontId="3" fillId="8" borderId="12" xfId="0" applyNumberFormat="1" applyFont="1" applyFill="1" applyBorder="1" applyAlignment="1">
      <alignment vertical="top"/>
    </xf>
    <xf numFmtId="166" fontId="3" fillId="8" borderId="7" xfId="0" applyNumberFormat="1" applyFont="1" applyFill="1" applyBorder="1" applyAlignment="1">
      <alignment vertical="top"/>
    </xf>
    <xf numFmtId="166" fontId="3" fillId="8" borderId="1" xfId="0" applyNumberFormat="1" applyFont="1" applyFill="1" applyBorder="1" applyAlignment="1">
      <alignment vertical="top"/>
    </xf>
    <xf numFmtId="170" fontId="1" fillId="0" borderId="2" xfId="0" applyNumberFormat="1" applyFont="1" applyBorder="1"/>
    <xf numFmtId="170" fontId="1" fillId="0" borderId="4" xfId="0" applyNumberFormat="1" applyFont="1" applyBorder="1"/>
    <xf numFmtId="0" fontId="1" fillId="0" borderId="0" xfId="0" applyFont="1" applyAlignment="1">
      <alignment indent="1"/>
    </xf>
    <xf numFmtId="0" fontId="4" fillId="0" borderId="0" xfId="0" applyFont="1" applyAlignment="1">
      <alignment horizontal="right"/>
    </xf>
    <xf numFmtId="166" fontId="3" fillId="8" borderId="1" xfId="0" applyNumberFormat="1" applyFont="1" applyFill="1" applyBorder="1"/>
    <xf numFmtId="170" fontId="1" fillId="0" borderId="0" xfId="0" applyNumberFormat="1" applyFont="1" applyAlignment="1">
      <alignment vertical="top"/>
    </xf>
    <xf numFmtId="170" fontId="1" fillId="0" borderId="0" xfId="0" applyNumberFormat="1" applyFont="1"/>
    <xf numFmtId="170" fontId="3" fillId="8" borderId="5" xfId="0" applyNumberFormat="1" applyFont="1" applyFill="1" applyBorder="1" applyAlignment="1">
      <alignment vertical="top"/>
    </xf>
    <xf numFmtId="170" fontId="8" fillId="0" borderId="0" xfId="0" applyNumberFormat="1" applyFont="1" applyAlignment="1">
      <alignment horizontal="right" vertical="top"/>
    </xf>
    <xf numFmtId="166" fontId="3" fillId="8" borderId="7" xfId="0" applyNumberFormat="1" applyFont="1" applyFill="1" applyBorder="1"/>
    <xf numFmtId="166" fontId="3" fillId="8" borderId="10" xfId="0" applyNumberFormat="1" applyFont="1" applyFill="1" applyBorder="1"/>
    <xf numFmtId="0" fontId="4" fillId="11" borderId="0" xfId="0" applyFont="1" applyFill="1"/>
    <xf numFmtId="168" fontId="1" fillId="0" borderId="0" xfId="0" applyNumberFormat="1" applyFont="1"/>
    <xf numFmtId="165" fontId="1" fillId="0" borderId="0" xfId="0" applyNumberFormat="1" applyFont="1"/>
    <xf numFmtId="166" fontId="1" fillId="0" borderId="0" xfId="0" applyNumberFormat="1" applyFont="1"/>
    <xf numFmtId="164" fontId="3" fillId="8" borderId="7" xfId="0" applyNumberFormat="1" applyFont="1" applyFill="1" applyBorder="1"/>
    <xf numFmtId="164" fontId="3" fillId="8" borderId="1" xfId="0" applyNumberFormat="1" applyFont="1" applyFill="1" applyBorder="1"/>
    <xf numFmtId="0" fontId="3" fillId="8" borderId="1" xfId="0" applyFont="1" applyFill="1" applyBorder="1"/>
    <xf numFmtId="0" fontId="3" fillId="8" borderId="10" xfId="0" applyFont="1" applyFill="1" applyBorder="1"/>
    <xf numFmtId="164" fontId="3" fillId="8" borderId="14" xfId="0" applyNumberFormat="1" applyFont="1" applyFill="1" applyBorder="1"/>
    <xf numFmtId="166" fontId="2" fillId="0" borderId="1" xfId="0" applyNumberFormat="1" applyFont="1" applyBorder="1" applyAlignment="1">
      <alignment vertical="top"/>
    </xf>
    <xf numFmtId="166" fontId="1" fillId="0" borderId="0" xfId="0" applyNumberFormat="1" applyFont="1" applyAlignment="1">
      <alignment vertical="top"/>
    </xf>
    <xf numFmtId="174" fontId="1" fillId="0" borderId="0" xfId="0" applyNumberFormat="1" applyFont="1"/>
    <xf numFmtId="175" fontId="2" fillId="0" borderId="0" xfId="0" applyNumberFormat="1" applyFont="1"/>
    <xf numFmtId="175" fontId="1" fillId="0" borderId="0" xfId="0" applyNumberFormat="1" applyFont="1"/>
    <xf numFmtId="164" fontId="1" fillId="0" borderId="0" xfId="0" applyNumberFormat="1" applyFont="1"/>
    <xf numFmtId="176" fontId="2" fillId="0" borderId="0" xfId="0" applyNumberFormat="1" applyFont="1"/>
    <xf numFmtId="9" fontId="3" fillId="8" borderId="1" xfId="0" applyNumberFormat="1" applyFont="1" applyFill="1" applyBorder="1"/>
    <xf numFmtId="9" fontId="3" fillId="8" borderId="7" xfId="0" applyNumberFormat="1" applyFont="1" applyFill="1" applyBorder="1"/>
    <xf numFmtId="9" fontId="3" fillId="8" borderId="12" xfId="0" applyNumberFormat="1" applyFont="1" applyFill="1" applyBorder="1"/>
    <xf numFmtId="9" fontId="3" fillId="8" borderId="10" xfId="0" applyNumberFormat="1" applyFont="1" applyFill="1" applyBorder="1"/>
    <xf numFmtId="177" fontId="1" fillId="0" borderId="0" xfId="0" applyNumberFormat="1" applyFont="1"/>
    <xf numFmtId="10" fontId="2" fillId="0" borderId="0" xfId="0" applyNumberFormat="1" applyFont="1"/>
    <xf numFmtId="0" fontId="4" fillId="10" borderId="0" xfId="0" applyFont="1" applyFill="1"/>
    <xf numFmtId="0" fontId="7" fillId="9" borderId="0" xfId="0" applyFont="1" applyFill="1"/>
    <xf numFmtId="178" fontId="3" fillId="8" borderId="10" xfId="0" applyNumberFormat="1" applyFont="1" applyFill="1" applyBorder="1"/>
    <xf numFmtId="178" fontId="1" fillId="0" borderId="0" xfId="0" applyNumberFormat="1" applyFont="1"/>
    <xf numFmtId="3" fontId="3" fillId="8" borderId="10" xfId="0" applyNumberFormat="1" applyFont="1" applyFill="1" applyBorder="1"/>
    <xf numFmtId="3" fontId="1" fillId="0" borderId="0" xfId="0" applyNumberFormat="1" applyFont="1"/>
    <xf numFmtId="179" fontId="3" fillId="8" borderId="1" xfId="0" applyNumberFormat="1" applyFont="1" applyFill="1" applyBorder="1"/>
    <xf numFmtId="179" fontId="3" fillId="8" borderId="10" xfId="0" applyNumberFormat="1" applyFont="1" applyFill="1" applyBorder="1"/>
    <xf numFmtId="179" fontId="1" fillId="0" borderId="0" xfId="0" applyNumberFormat="1" applyFont="1"/>
    <xf numFmtId="179" fontId="2" fillId="0" borderId="0" xfId="0" applyNumberFormat="1" applyFont="1"/>
    <xf numFmtId="3" fontId="2" fillId="0" borderId="0" xfId="0" applyNumberFormat="1" applyFont="1"/>
    <xf numFmtId="10" fontId="1" fillId="0" borderId="0" xfId="0" applyNumberFormat="1" applyFont="1"/>
    <xf numFmtId="179" fontId="3" fillId="8" borderId="12" xfId="0" applyNumberFormat="1" applyFont="1" applyFill="1" applyBorder="1"/>
    <xf numFmtId="1" fontId="1" fillId="0" borderId="0" xfId="0" applyNumberFormat="1" applyFont="1"/>
    <xf numFmtId="1" fontId="3" fillId="8" borderId="12" xfId="0" applyNumberFormat="1" applyFont="1" applyFill="1" applyBorder="1"/>
    <xf numFmtId="9" fontId="1" fillId="0" borderId="0" xfId="0" applyNumberFormat="1" applyFont="1"/>
    <xf numFmtId="178" fontId="2" fillId="0" borderId="0" xfId="0" applyNumberFormat="1" applyFont="1"/>
    <xf numFmtId="1" fontId="2" fillId="0" borderId="0" xfId="0" applyNumberFormat="1" applyFont="1"/>
    <xf numFmtId="1" fontId="4" fillId="0" borderId="0" xfId="0" applyNumberFormat="1" applyFont="1" applyAlignment="1">
      <alignment horizontal="right"/>
    </xf>
    <xf numFmtId="174" fontId="1" fillId="0" borderId="0" xfId="0" applyNumberFormat="1" applyFont="1" applyAlignment="1">
      <alignment horizontal="right"/>
    </xf>
    <xf numFmtId="1" fontId="1" fillId="0" borderId="0" xfId="0" applyNumberFormat="1" applyFont="1" applyAlignment="1">
      <alignment horizontal="right"/>
    </xf>
    <xf numFmtId="178" fontId="1" fillId="0" borderId="0" xfId="0" applyNumberFormat="1" applyFont="1" applyAlignment="1">
      <alignment horizontal="right"/>
    </xf>
    <xf numFmtId="3" fontId="1" fillId="0" borderId="0" xfId="0" applyNumberFormat="1" applyFont="1" applyAlignment="1">
      <alignment horizontal="right"/>
    </xf>
    <xf numFmtId="179" fontId="1" fillId="0" borderId="0" xfId="0" applyNumberFormat="1" applyFont="1" applyAlignment="1">
      <alignment horizontal="right"/>
    </xf>
    <xf numFmtId="10" fontId="1" fillId="0" borderId="0" xfId="0" applyNumberFormat="1" applyFont="1" applyAlignment="1">
      <alignment horizontal="right"/>
    </xf>
    <xf numFmtId="178" fontId="4" fillId="0" borderId="0" xfId="0" applyNumberFormat="1" applyFont="1" applyAlignment="1">
      <alignment horizontal="right"/>
    </xf>
    <xf numFmtId="4" fontId="1" fillId="0" borderId="0" xfId="0" applyNumberFormat="1" applyFont="1" applyAlignment="1">
      <alignment horizontal="right"/>
    </xf>
    <xf numFmtId="2" fontId="1" fillId="0" borderId="0" xfId="0" applyNumberFormat="1" applyFont="1" applyAlignment="1">
      <alignment horizontal="right"/>
    </xf>
    <xf numFmtId="178" fontId="7" fillId="0" borderId="0" xfId="0" applyNumberFormat="1" applyFont="1" applyAlignment="1">
      <alignment horizontal="right"/>
    </xf>
    <xf numFmtId="0" fontId="7" fillId="0" borderId="0" xfId="0" applyFont="1" applyAlignment="1">
      <alignment horizontal="right"/>
    </xf>
    <xf numFmtId="180" fontId="2" fillId="0" borderId="0" xfId="0" applyNumberFormat="1" applyFont="1"/>
    <xf numFmtId="164" fontId="2" fillId="0" borderId="6" xfId="0" applyNumberFormat="1" applyFont="1" applyBorder="1" applyAlignment="1">
      <alignment vertical="top"/>
    </xf>
    <xf numFmtId="0" fontId="10" fillId="9" borderId="0" xfId="0" applyFont="1" applyFill="1"/>
    <xf numFmtId="179" fontId="4" fillId="0" borderId="0" xfId="0" applyNumberFormat="1" applyFont="1"/>
    <xf numFmtId="175" fontId="4" fillId="0" borderId="0" xfId="0" applyNumberFormat="1" applyFont="1"/>
    <xf numFmtId="0" fontId="4" fillId="10" borderId="0" xfId="0" applyFont="1" applyFill="1" applyAlignment="1">
      <alignment horizontal="right"/>
    </xf>
    <xf numFmtId="167" fontId="1" fillId="0" borderId="0" xfId="0" applyNumberFormat="1" applyFont="1"/>
    <xf numFmtId="1" fontId="3" fillId="8" borderId="7" xfId="0" applyNumberFormat="1" applyFont="1" applyFill="1" applyBorder="1"/>
    <xf numFmtId="1" fontId="3" fillId="8" borderId="1" xfId="0" applyNumberFormat="1" applyFont="1" applyFill="1" applyBorder="1"/>
    <xf numFmtId="3" fontId="2" fillId="0" borderId="12" xfId="0" applyNumberFormat="1" applyFont="1" applyBorder="1"/>
    <xf numFmtId="9" fontId="2" fillId="0" borderId="12" xfId="0" applyNumberFormat="1" applyFont="1" applyBorder="1"/>
    <xf numFmtId="3" fontId="2" fillId="0" borderId="10" xfId="0" applyNumberFormat="1" applyFont="1" applyBorder="1"/>
    <xf numFmtId="9" fontId="2" fillId="0" borderId="10" xfId="0" applyNumberFormat="1" applyFont="1" applyBorder="1"/>
    <xf numFmtId="9" fontId="2" fillId="0" borderId="0" xfId="0" applyNumberFormat="1" applyFont="1"/>
    <xf numFmtId="0" fontId="2" fillId="0" borderId="0" xfId="0" applyFont="1" applyAlignment="1">
      <alignment horizontal="right"/>
    </xf>
    <xf numFmtId="181" fontId="4" fillId="0" borderId="0" xfId="0" applyNumberFormat="1" applyFont="1" applyAlignment="1">
      <alignment horizontal="right"/>
    </xf>
    <xf numFmtId="10" fontId="3" fillId="8" borderId="12" xfId="0" applyNumberFormat="1" applyFont="1" applyFill="1" applyBorder="1"/>
    <xf numFmtId="2" fontId="1" fillId="0" borderId="0" xfId="0" applyNumberFormat="1" applyFont="1"/>
    <xf numFmtId="9" fontId="4" fillId="0" borderId="0" xfId="0" applyNumberFormat="1" applyFont="1"/>
    <xf numFmtId="2" fontId="4" fillId="0" borderId="0" xfId="0" applyNumberFormat="1" applyFont="1"/>
    <xf numFmtId="2" fontId="2" fillId="0" borderId="0" xfId="0" applyNumberFormat="1" applyFont="1"/>
    <xf numFmtId="10" fontId="4" fillId="0" borderId="0" xfId="0" applyNumberFormat="1" applyFont="1" applyAlignment="1">
      <alignment horizontal="right"/>
    </xf>
    <xf numFmtId="182" fontId="1" fillId="0" borderId="0" xfId="0" applyNumberFormat="1" applyFont="1"/>
    <xf numFmtId="183" fontId="1" fillId="0" borderId="0" xfId="0" applyNumberFormat="1" applyFont="1"/>
    <xf numFmtId="182" fontId="2" fillId="0" borderId="0" xfId="0" applyNumberFormat="1" applyFont="1"/>
    <xf numFmtId="183" fontId="2" fillId="0" borderId="0" xfId="0" applyNumberFormat="1" applyFont="1"/>
    <xf numFmtId="179" fontId="3" fillId="8" borderId="7" xfId="0" applyNumberFormat="1" applyFont="1" applyFill="1" applyBorder="1"/>
    <xf numFmtId="0" fontId="4" fillId="0" borderId="0" xfId="0" applyFont="1" applyAlignment="1">
      <alignment wrapText="1"/>
    </xf>
    <xf numFmtId="177" fontId="2" fillId="0" borderId="0" xfId="0" applyNumberFormat="1" applyFont="1"/>
    <xf numFmtId="1" fontId="4" fillId="0" borderId="0" xfId="0" applyNumberFormat="1" applyFont="1"/>
    <xf numFmtId="184" fontId="2" fillId="0" borderId="0" xfId="0" applyNumberFormat="1" applyFont="1"/>
    <xf numFmtId="184" fontId="3" fillId="8" borderId="1" xfId="0" applyNumberFormat="1" applyFont="1" applyFill="1" applyBorder="1"/>
    <xf numFmtId="0" fontId="7" fillId="10" borderId="0" xfId="0" applyFont="1" applyFill="1"/>
    <xf numFmtId="0" fontId="4" fillId="10" borderId="0" xfId="0" applyFont="1" applyFill="1" applyAlignment="1">
      <alignment horizontal="right" wrapText="1"/>
    </xf>
    <xf numFmtId="178" fontId="3" fillId="8" borderId="12" xfId="0" applyNumberFormat="1" applyFont="1" applyFill="1" applyBorder="1"/>
    <xf numFmtId="183" fontId="7" fillId="0" borderId="0" xfId="0" applyNumberFormat="1" applyFont="1"/>
    <xf numFmtId="182" fontId="4" fillId="0" borderId="0" xfId="0" applyNumberFormat="1" applyFont="1"/>
    <xf numFmtId="184" fontId="1" fillId="0" borderId="0" xfId="0" applyNumberFormat="1" applyFont="1"/>
    <xf numFmtId="1" fontId="3" fillId="8" borderId="7" xfId="0" applyNumberFormat="1" applyFont="1" applyFill="1" applyBorder="1" applyAlignment="1">
      <alignment horizontal="right"/>
    </xf>
    <xf numFmtId="1" fontId="3" fillId="8" borderId="1" xfId="0" applyNumberFormat="1" applyFont="1" applyFill="1" applyBorder="1" applyAlignment="1">
      <alignment horizontal="right"/>
    </xf>
    <xf numFmtId="0" fontId="4" fillId="0" borderId="0" xfId="0" applyFont="1" applyAlignment="1">
      <alignment vertical="top"/>
    </xf>
    <xf numFmtId="10" fontId="3" fillId="8" borderId="10" xfId="0" applyNumberFormat="1" applyFont="1" applyFill="1" applyBorder="1"/>
    <xf numFmtId="0" fontId="4" fillId="0" borderId="0" xfId="0" applyFont="1" applyAlignment="1">
      <alignment horizontal="right" wrapText="1"/>
    </xf>
    <xf numFmtId="0" fontId="7" fillId="11" borderId="0" xfId="0" applyFont="1" applyFill="1"/>
    <xf numFmtId="0" fontId="3" fillId="0" borderId="0" xfId="0" applyFont="1"/>
    <xf numFmtId="168" fontId="11" fillId="0" borderId="0" xfId="0" applyNumberFormat="1" applyFont="1"/>
    <xf numFmtId="168" fontId="4" fillId="0" borderId="0" xfId="0" applyNumberFormat="1" applyFont="1"/>
    <xf numFmtId="9" fontId="3" fillId="0" borderId="0" xfId="0" applyNumberFormat="1" applyFont="1"/>
    <xf numFmtId="0" fontId="6" fillId="0" borderId="0" xfId="0" applyFont="1" applyAlignment="1">
      <alignment vertical="top" wrapText="1"/>
    </xf>
    <xf numFmtId="0" fontId="14" fillId="0" borderId="0" xfId="1" applyFont="1"/>
    <xf numFmtId="164" fontId="3" fillId="2" borderId="1" xfId="0" applyNumberFormat="1" applyFont="1" applyFill="1" applyBorder="1" applyAlignment="1">
      <alignment vertical="top"/>
    </xf>
    <xf numFmtId="3" fontId="7" fillId="0" borderId="0" xfId="0" applyNumberFormat="1" applyFont="1"/>
    <xf numFmtId="10" fontId="7" fillId="0" borderId="0" xfId="0" applyNumberFormat="1" applyFont="1"/>
    <xf numFmtId="179" fontId="7" fillId="0" borderId="0" xfId="0" applyNumberFormat="1" applyFont="1"/>
    <xf numFmtId="0" fontId="15" fillId="0" borderId="0" xfId="0" applyFont="1"/>
    <xf numFmtId="0" fontId="16" fillId="0" borderId="0" xfId="0" applyFont="1"/>
    <xf numFmtId="164" fontId="1" fillId="0" borderId="0" xfId="0" applyNumberFormat="1" applyFont="1" applyAlignment="1">
      <alignment vertical="top"/>
    </xf>
    <xf numFmtId="164" fontId="3" fillId="2" borderId="1" xfId="0" applyNumberFormat="1" applyFont="1" applyFill="1" applyBorder="1"/>
    <xf numFmtId="167" fontId="3" fillId="2" borderId="1" xfId="0" applyNumberFormat="1" applyFont="1" applyFill="1" applyBorder="1" applyAlignment="1">
      <alignment vertical="top"/>
    </xf>
    <xf numFmtId="168" fontId="1" fillId="0" borderId="0" xfId="0" applyNumberFormat="1" applyFont="1" applyAlignment="1">
      <alignment vertical="top"/>
    </xf>
    <xf numFmtId="166" fontId="3" fillId="2" borderId="6" xfId="0" applyNumberFormat="1" applyFont="1" applyFill="1" applyBorder="1" applyAlignment="1">
      <alignment vertical="top"/>
    </xf>
    <xf numFmtId="166" fontId="3" fillId="2" borderId="1" xfId="0" applyNumberFormat="1" applyFont="1" applyFill="1" applyBorder="1" applyAlignment="1">
      <alignment vertical="top"/>
    </xf>
    <xf numFmtId="165" fontId="3" fillId="2" borderId="1" xfId="0" applyNumberFormat="1" applyFont="1" applyFill="1" applyBorder="1" applyAlignment="1">
      <alignment vertical="top"/>
    </xf>
    <xf numFmtId="2" fontId="3" fillId="2" borderId="1" xfId="0" applyNumberFormat="1" applyFont="1" applyFill="1" applyBorder="1" applyAlignment="1">
      <alignment vertical="top"/>
    </xf>
    <xf numFmtId="1" fontId="3" fillId="2" borderId="1" xfId="0" applyNumberFormat="1" applyFont="1" applyFill="1" applyBorder="1" applyAlignment="1">
      <alignment vertical="top"/>
    </xf>
    <xf numFmtId="168" fontId="3" fillId="2" borderId="1" xfId="0" applyNumberFormat="1" applyFont="1" applyFill="1" applyBorder="1" applyAlignment="1">
      <alignment vertical="top"/>
    </xf>
    <xf numFmtId="166" fontId="3" fillId="2" borderId="10" xfId="0" applyNumberFormat="1" applyFont="1" applyFill="1" applyBorder="1" applyAlignment="1">
      <alignment vertical="top"/>
    </xf>
    <xf numFmtId="0" fontId="12" fillId="0" borderId="0" xfId="0" applyFont="1"/>
    <xf numFmtId="0" fontId="17" fillId="0" borderId="0" xfId="0" applyFont="1"/>
    <xf numFmtId="165" fontId="7" fillId="0" borderId="0" xfId="0" applyNumberFormat="1" applyFont="1"/>
    <xf numFmtId="174" fontId="7" fillId="0" borderId="0" xfId="0" applyNumberFormat="1" applyFont="1"/>
    <xf numFmtId="180" fontId="7" fillId="0" borderId="0" xfId="0" applyNumberFormat="1" applyFont="1" applyAlignment="1">
      <alignment horizontal="right"/>
    </xf>
    <xf numFmtId="2" fontId="7" fillId="0" borderId="0" xfId="0" applyNumberFormat="1" applyFont="1" applyAlignment="1">
      <alignment horizontal="right"/>
    </xf>
    <xf numFmtId="179" fontId="7" fillId="0" borderId="0" xfId="0" applyNumberFormat="1" applyFont="1" applyAlignment="1">
      <alignment horizontal="right"/>
    </xf>
    <xf numFmtId="0" fontId="4" fillId="4" borderId="0" xfId="0" applyFont="1" applyFill="1"/>
    <xf numFmtId="0" fontId="4" fillId="4" borderId="0" xfId="0" applyFont="1" applyFill="1" applyAlignment="1">
      <alignment horizontal="right"/>
    </xf>
    <xf numFmtId="0" fontId="18" fillId="0" borderId="1" xfId="0" applyFont="1" applyBorder="1"/>
    <xf numFmtId="0" fontId="5" fillId="6" borderId="0" xfId="0" applyFont="1" applyFill="1"/>
    <xf numFmtId="0" fontId="1" fillId="6" borderId="0" xfId="0" applyFont="1" applyFill="1"/>
    <xf numFmtId="0" fontId="4" fillId="5" borderId="0" xfId="0" applyFont="1" applyFill="1"/>
    <xf numFmtId="0" fontId="6" fillId="0" borderId="0" xfId="0" applyFont="1" applyAlignment="1">
      <alignment indent="1"/>
    </xf>
    <xf numFmtId="166" fontId="6" fillId="0" borderId="0" xfId="0" applyNumberFormat="1" applyFont="1"/>
    <xf numFmtId="168" fontId="4" fillId="0" borderId="4" xfId="0" applyNumberFormat="1" applyFont="1" applyBorder="1"/>
    <xf numFmtId="169" fontId="1" fillId="0" borderId="0" xfId="0" applyNumberFormat="1" applyFont="1"/>
    <xf numFmtId="168" fontId="1" fillId="0" borderId="0" xfId="0" applyNumberFormat="1" applyFont="1" applyAlignment="1">
      <alignment horizontal="right"/>
    </xf>
    <xf numFmtId="168" fontId="4" fillId="0" borderId="4" xfId="0" applyNumberFormat="1" applyFont="1" applyBorder="1" applyAlignment="1">
      <alignment horizontal="right"/>
    </xf>
    <xf numFmtId="165" fontId="4" fillId="0" borderId="1" xfId="0" applyNumberFormat="1" applyFont="1" applyBorder="1" applyAlignment="1">
      <alignment horizontal="right"/>
    </xf>
    <xf numFmtId="166" fontId="1" fillId="0" borderId="0" xfId="0" applyNumberFormat="1" applyFont="1" applyAlignment="1">
      <alignment horizontal="right"/>
    </xf>
    <xf numFmtId="164" fontId="1" fillId="0" borderId="0" xfId="0" applyNumberFormat="1" applyFont="1" applyAlignment="1">
      <alignment horizontal="right"/>
    </xf>
    <xf numFmtId="0" fontId="1" fillId="0" borderId="0" xfId="0" applyFont="1" applyAlignment="1">
      <alignment horizontal="right"/>
    </xf>
    <xf numFmtId="0" fontId="7" fillId="0" borderId="2" xfId="0" applyFont="1" applyBorder="1"/>
    <xf numFmtId="0" fontId="7" fillId="5" borderId="0" xfId="0" applyFont="1" applyFill="1"/>
    <xf numFmtId="166" fontId="7" fillId="0" borderId="0" xfId="0" applyNumberFormat="1" applyFont="1"/>
    <xf numFmtId="177" fontId="7" fillId="0" borderId="0" xfId="0" applyNumberFormat="1" applyFont="1"/>
    <xf numFmtId="0" fontId="20" fillId="0" borderId="0" xfId="0" applyFont="1"/>
    <xf numFmtId="0" fontId="21" fillId="0" borderId="0" xfId="0" applyFont="1"/>
    <xf numFmtId="0" fontId="19" fillId="0" borderId="0" xfId="0" applyFont="1"/>
    <xf numFmtId="166" fontId="4" fillId="0" borderId="4" xfId="0" applyNumberFormat="1" applyFont="1" applyBorder="1"/>
    <xf numFmtId="169" fontId="2" fillId="0" borderId="0" xfId="0" applyNumberFormat="1" applyFont="1"/>
    <xf numFmtId="165" fontId="4" fillId="0" borderId="1" xfId="0" applyNumberFormat="1" applyFont="1" applyBorder="1"/>
    <xf numFmtId="168" fontId="7" fillId="0" borderId="0" xfId="0" applyNumberFormat="1" applyFont="1"/>
    <xf numFmtId="176" fontId="7" fillId="0" borderId="0" xfId="0" applyNumberFormat="1" applyFont="1"/>
    <xf numFmtId="178" fontId="7" fillId="0" borderId="0" xfId="0" applyNumberFormat="1" applyFont="1"/>
    <xf numFmtId="1" fontId="7" fillId="0" borderId="0" xfId="0" applyNumberFormat="1" applyFont="1"/>
    <xf numFmtId="0" fontId="1" fillId="7" borderId="0" xfId="0" applyFont="1" applyFill="1"/>
    <xf numFmtId="165" fontId="11" fillId="0" borderId="1" xfId="0" applyNumberFormat="1" applyFont="1" applyBorder="1"/>
    <xf numFmtId="173" fontId="1" fillId="0" borderId="0" xfId="0" applyNumberFormat="1" applyFont="1"/>
    <xf numFmtId="166" fontId="2" fillId="7" borderId="0" xfId="0" applyNumberFormat="1" applyFont="1" applyFill="1"/>
    <xf numFmtId="164" fontId="2" fillId="7" borderId="0" xfId="0" applyNumberFormat="1" applyFont="1" applyFill="1"/>
    <xf numFmtId="166" fontId="4" fillId="3" borderId="2" xfId="0" applyNumberFormat="1" applyFont="1" applyFill="1" applyBorder="1"/>
    <xf numFmtId="166" fontId="4" fillId="3" borderId="3" xfId="0" applyNumberFormat="1" applyFont="1" applyFill="1" applyBorder="1"/>
    <xf numFmtId="164" fontId="4" fillId="0" borderId="0" xfId="0" applyNumberFormat="1" applyFont="1"/>
    <xf numFmtId="173" fontId="7" fillId="0" borderId="0" xfId="0" applyNumberFormat="1" applyFont="1"/>
    <xf numFmtId="164" fontId="7" fillId="0" borderId="0" xfId="0" applyNumberFormat="1" applyFont="1"/>
    <xf numFmtId="171" fontId="1" fillId="0" borderId="0" xfId="0" applyNumberFormat="1" applyFont="1"/>
    <xf numFmtId="171" fontId="1" fillId="0" borderId="0" xfId="0" applyNumberFormat="1" applyFont="1" applyAlignment="1">
      <alignment vertical="top"/>
    </xf>
    <xf numFmtId="166" fontId="4" fillId="0" borderId="0" xfId="0" applyNumberFormat="1" applyFont="1"/>
    <xf numFmtId="166" fontId="11" fillId="3" borderId="3" xfId="0" applyNumberFormat="1" applyFont="1" applyFill="1" applyBorder="1"/>
    <xf numFmtId="166" fontId="11" fillId="3" borderId="2" xfId="0" applyNumberFormat="1" applyFont="1" applyFill="1" applyBorder="1"/>
    <xf numFmtId="179" fontId="22" fillId="2" borderId="1" xfId="0" applyNumberFormat="1" applyFont="1" applyFill="1" applyBorder="1"/>
    <xf numFmtId="165" fontId="1" fillId="7" borderId="0" xfId="0" applyNumberFormat="1" applyFont="1" applyFill="1"/>
    <xf numFmtId="164" fontId="3" fillId="2" borderId="7" xfId="0" applyNumberFormat="1" applyFont="1" applyFill="1" applyBorder="1"/>
    <xf numFmtId="164" fontId="3" fillId="2" borderId="13" xfId="0" applyNumberFormat="1" applyFont="1" applyFill="1" applyBorder="1"/>
    <xf numFmtId="164" fontId="4" fillId="0" borderId="4" xfId="0" applyNumberFormat="1" applyFont="1" applyBorder="1"/>
    <xf numFmtId="164" fontId="3" fillId="2" borderId="10" xfId="0" applyNumberFormat="1" applyFont="1" applyFill="1" applyBorder="1"/>
    <xf numFmtId="164" fontId="3" fillId="2" borderId="12" xfId="0" applyNumberFormat="1" applyFont="1" applyFill="1" applyBorder="1"/>
    <xf numFmtId="15" fontId="4" fillId="0" borderId="0" xfId="0" applyNumberFormat="1" applyFont="1" applyAlignment="1">
      <alignment horizontal="right"/>
    </xf>
    <xf numFmtId="175" fontId="11" fillId="0" borderId="0" xfId="0" applyNumberFormat="1" applyFont="1"/>
    <xf numFmtId="0" fontId="4" fillId="0" borderId="0" xfId="0" applyFont="1" applyAlignment="1">
      <alignment vertical="top" wrapText="1"/>
    </xf>
    <xf numFmtId="0" fontId="4" fillId="4" borderId="0" xfId="0" applyFont="1" applyFill="1" applyAlignment="1">
      <alignment vertical="top" wrapText="1"/>
    </xf>
    <xf numFmtId="179" fontId="7" fillId="0" borderId="0" xfId="0" applyNumberFormat="1" applyFont="1" applyAlignment="1">
      <alignment vertical="top" wrapText="1"/>
    </xf>
    <xf numFmtId="176" fontId="2" fillId="0" borderId="0" xfId="0" applyNumberFormat="1" applyFont="1" applyAlignment="1">
      <alignment vertical="top" wrapText="1"/>
    </xf>
    <xf numFmtId="3" fontId="2" fillId="0" borderId="0" xfId="0" applyNumberFormat="1" applyFont="1" applyAlignment="1">
      <alignment vertical="top" wrapText="1"/>
    </xf>
    <xf numFmtId="179" fontId="3" fillId="8" borderId="12" xfId="0" applyNumberFormat="1" applyFont="1" applyFill="1" applyBorder="1" applyAlignment="1">
      <alignment vertical="top"/>
    </xf>
    <xf numFmtId="179" fontId="1" fillId="0" borderId="0" xfId="0" applyNumberFormat="1" applyFont="1" applyAlignment="1">
      <alignment vertical="top"/>
    </xf>
    <xf numFmtId="10" fontId="3" fillId="8" borderId="12" xfId="0" applyNumberFormat="1" applyFont="1" applyFill="1" applyBorder="1" applyAlignment="1">
      <alignment vertical="top"/>
    </xf>
    <xf numFmtId="10" fontId="3" fillId="8" borderId="1" xfId="0" applyNumberFormat="1" applyFont="1" applyFill="1" applyBorder="1" applyAlignment="1">
      <alignment vertical="top"/>
    </xf>
    <xf numFmtId="10" fontId="1" fillId="0" borderId="0" xfId="0" applyNumberFormat="1" applyFont="1" applyAlignment="1">
      <alignment vertical="top"/>
    </xf>
    <xf numFmtId="179" fontId="3" fillId="8" borderId="15" xfId="0" applyNumberFormat="1" applyFont="1" applyFill="1" applyBorder="1" applyAlignment="1">
      <alignment vertical="top"/>
    </xf>
    <xf numFmtId="2" fontId="3" fillId="8" borderId="12" xfId="0" applyNumberFormat="1" applyFont="1" applyFill="1" applyBorder="1" applyAlignment="1">
      <alignment vertical="top"/>
    </xf>
    <xf numFmtId="2" fontId="1" fillId="0" borderId="0" xfId="0" applyNumberFormat="1" applyFont="1" applyAlignment="1">
      <alignment vertical="top"/>
    </xf>
    <xf numFmtId="1" fontId="3" fillId="8" borderId="12" xfId="0" applyNumberFormat="1" applyFont="1" applyFill="1" applyBorder="1" applyAlignment="1">
      <alignment vertical="top"/>
    </xf>
    <xf numFmtId="1" fontId="1" fillId="0" borderId="0" xfId="0" applyNumberFormat="1" applyFont="1" applyAlignment="1">
      <alignment vertical="top"/>
    </xf>
    <xf numFmtId="4" fontId="3" fillId="8" borderId="7" xfId="0" applyNumberFormat="1" applyFont="1" applyFill="1" applyBorder="1" applyAlignment="1">
      <alignment vertical="top"/>
    </xf>
    <xf numFmtId="4" fontId="1" fillId="0" borderId="0" xfId="0" applyNumberFormat="1" applyFont="1" applyAlignment="1">
      <alignment vertical="top"/>
    </xf>
    <xf numFmtId="4" fontId="2" fillId="0" borderId="0" xfId="0" applyNumberFormat="1" applyFont="1" applyAlignment="1">
      <alignment vertical="top"/>
    </xf>
    <xf numFmtId="9" fontId="3" fillId="8" borderId="7" xfId="0" applyNumberFormat="1" applyFont="1" applyFill="1" applyBorder="1" applyAlignment="1">
      <alignment vertical="top"/>
    </xf>
    <xf numFmtId="9" fontId="1" fillId="0" borderId="0" xfId="0" applyNumberFormat="1" applyFont="1" applyAlignment="1">
      <alignment vertical="top"/>
    </xf>
    <xf numFmtId="1" fontId="3" fillId="8" borderId="10" xfId="0" applyNumberFormat="1" applyFont="1" applyFill="1" applyBorder="1" applyAlignment="1">
      <alignment vertical="top"/>
    </xf>
    <xf numFmtId="1" fontId="3" fillId="8" borderId="1" xfId="0" applyNumberFormat="1" applyFont="1" applyFill="1" applyBorder="1" applyAlignment="1">
      <alignment vertical="top"/>
    </xf>
    <xf numFmtId="10" fontId="3" fillId="8" borderId="10" xfId="0" applyNumberFormat="1" applyFont="1" applyFill="1" applyBorder="1" applyAlignment="1">
      <alignment vertical="top"/>
    </xf>
    <xf numFmtId="177" fontId="3" fillId="8" borderId="1" xfId="0" applyNumberFormat="1" applyFont="1" applyFill="1" applyBorder="1" applyAlignment="1">
      <alignment vertical="top"/>
    </xf>
    <xf numFmtId="177" fontId="2" fillId="0" borderId="0" xfId="0" applyNumberFormat="1" applyFont="1" applyAlignment="1">
      <alignment vertical="top"/>
    </xf>
    <xf numFmtId="177" fontId="3" fillId="8" borderId="7" xfId="0" applyNumberFormat="1" applyFont="1" applyFill="1" applyBorder="1" applyAlignment="1">
      <alignment vertical="top"/>
    </xf>
    <xf numFmtId="177" fontId="1" fillId="0" borderId="0" xfId="0" applyNumberFormat="1" applyFont="1" applyAlignment="1">
      <alignment vertical="top"/>
    </xf>
    <xf numFmtId="9" fontId="3" fillId="8" borderId="10" xfId="0" applyNumberFormat="1" applyFont="1" applyFill="1" applyBorder="1" applyAlignment="1">
      <alignment vertical="top"/>
    </xf>
    <xf numFmtId="9" fontId="3" fillId="8" borderId="1" xfId="0" applyNumberFormat="1" applyFont="1" applyFill="1" applyBorder="1" applyAlignment="1">
      <alignment vertical="top"/>
    </xf>
    <xf numFmtId="179" fontId="3" fillId="8" borderId="7" xfId="0" applyNumberFormat="1" applyFont="1" applyFill="1" applyBorder="1" applyAlignment="1">
      <alignment vertical="top"/>
    </xf>
    <xf numFmtId="179" fontId="3" fillId="8" borderId="10" xfId="0" applyNumberFormat="1" applyFont="1" applyFill="1" applyBorder="1" applyAlignment="1">
      <alignment vertical="top"/>
    </xf>
    <xf numFmtId="4" fontId="3" fillId="8" borderId="10" xfId="0" applyNumberFormat="1" applyFont="1" applyFill="1" applyBorder="1" applyAlignment="1">
      <alignment vertical="top"/>
    </xf>
    <xf numFmtId="178" fontId="3" fillId="8" borderId="10" xfId="0" applyNumberFormat="1" applyFont="1" applyFill="1" applyBorder="1" applyAlignment="1">
      <alignment vertical="top"/>
    </xf>
    <xf numFmtId="3" fontId="3" fillId="8" borderId="10" xfId="0" applyNumberFormat="1" applyFont="1" applyFill="1" applyBorder="1" applyAlignment="1">
      <alignment vertical="top"/>
    </xf>
    <xf numFmtId="3" fontId="1" fillId="0" borderId="0" xfId="0" applyNumberFormat="1" applyFont="1" applyAlignment="1">
      <alignment vertical="top"/>
    </xf>
    <xf numFmtId="179" fontId="2" fillId="0" borderId="0" xfId="0" applyNumberFormat="1" applyFont="1" applyAlignment="1">
      <alignment vertical="top"/>
    </xf>
    <xf numFmtId="179" fontId="3" fillId="8" borderId="1" xfId="0" applyNumberFormat="1" applyFont="1" applyFill="1" applyBorder="1" applyAlignment="1">
      <alignment vertical="top"/>
    </xf>
    <xf numFmtId="3" fontId="2" fillId="0" borderId="0" xfId="0" applyNumberFormat="1" applyFont="1" applyAlignment="1">
      <alignment vertical="top"/>
    </xf>
    <xf numFmtId="178" fontId="1" fillId="0" borderId="0" xfId="0" applyNumberFormat="1" applyFont="1" applyAlignment="1">
      <alignment vertical="top"/>
    </xf>
    <xf numFmtId="178" fontId="2" fillId="0" borderId="0" xfId="0" applyNumberFormat="1" applyFont="1" applyAlignment="1">
      <alignment vertical="top"/>
    </xf>
    <xf numFmtId="1" fontId="3" fillId="8" borderId="8" xfId="0" applyNumberFormat="1" applyFont="1" applyFill="1" applyBorder="1" applyAlignment="1">
      <alignment vertical="top"/>
    </xf>
    <xf numFmtId="183" fontId="3" fillId="8" borderId="10" xfId="0" applyNumberFormat="1" applyFont="1" applyFill="1" applyBorder="1" applyAlignment="1">
      <alignment vertical="top"/>
    </xf>
    <xf numFmtId="2" fontId="3" fillId="8" borderId="1" xfId="0" applyNumberFormat="1" applyFont="1" applyFill="1" applyBorder="1" applyAlignment="1">
      <alignment vertical="top"/>
    </xf>
    <xf numFmtId="166" fontId="3" fillId="2" borderId="8" xfId="0" applyNumberFormat="1" applyFont="1" applyFill="1" applyBorder="1" applyAlignment="1">
      <alignment vertical="top"/>
    </xf>
    <xf numFmtId="2" fontId="3" fillId="8" borderId="10" xfId="0" applyNumberFormat="1" applyFont="1" applyFill="1" applyBorder="1" applyAlignment="1">
      <alignment vertical="top"/>
    </xf>
    <xf numFmtId="171" fontId="3" fillId="8" borderId="1" xfId="0" applyNumberFormat="1" applyFont="1" applyFill="1" applyBorder="1" applyAlignment="1">
      <alignment vertical="top"/>
    </xf>
    <xf numFmtId="0" fontId="7" fillId="0" borderId="11" xfId="0" applyFont="1" applyBorder="1" applyAlignment="1">
      <alignment vertical="top"/>
    </xf>
    <xf numFmtId="185" fontId="3" fillId="8" borderId="10" xfId="0" applyNumberFormat="1" applyFont="1" applyFill="1" applyBorder="1" applyAlignment="1">
      <alignment vertical="top"/>
    </xf>
    <xf numFmtId="167" fontId="2" fillId="0" borderId="0" xfId="0" applyNumberFormat="1" applyFont="1" applyAlignment="1">
      <alignment vertical="top"/>
    </xf>
    <xf numFmtId="165" fontId="2" fillId="0" borderId="0" xfId="0" applyNumberFormat="1" applyFont="1" applyAlignment="1">
      <alignment vertical="top"/>
    </xf>
    <xf numFmtId="10" fontId="2" fillId="0" borderId="0" xfId="0" applyNumberFormat="1" applyFont="1" applyAlignment="1">
      <alignment vertical="top"/>
    </xf>
    <xf numFmtId="0" fontId="7" fillId="0" borderId="2" xfId="0" applyFont="1" applyBorder="1" applyAlignment="1">
      <alignment vertical="top"/>
    </xf>
    <xf numFmtId="171" fontId="3" fillId="8" borderId="10" xfId="0" applyNumberFormat="1" applyFont="1" applyFill="1" applyBorder="1" applyAlignment="1">
      <alignment vertical="top"/>
    </xf>
    <xf numFmtId="172" fontId="3" fillId="8" borderId="1" xfId="0" applyNumberFormat="1" applyFont="1" applyFill="1" applyBorder="1" applyAlignment="1">
      <alignment vertical="top"/>
    </xf>
    <xf numFmtId="0" fontId="4" fillId="4" borderId="0" xfId="0" applyFont="1" applyFill="1" applyAlignment="1">
      <alignment vertical="top"/>
    </xf>
    <xf numFmtId="171" fontId="2" fillId="0" borderId="0" xfId="0" applyNumberFormat="1" applyFont="1" applyAlignment="1">
      <alignment vertical="top"/>
    </xf>
    <xf numFmtId="165" fontId="3" fillId="8" borderId="12" xfId="0" applyNumberFormat="1" applyFont="1" applyFill="1" applyBorder="1" applyAlignment="1">
      <alignment vertical="top"/>
    </xf>
    <xf numFmtId="174" fontId="1" fillId="0" borderId="0" xfId="0" applyNumberFormat="1" applyFont="1" applyAlignment="1">
      <alignment vertical="top"/>
    </xf>
    <xf numFmtId="174" fontId="3" fillId="8" borderId="7" xfId="0" applyNumberFormat="1" applyFont="1" applyFill="1" applyBorder="1" applyAlignment="1">
      <alignment vertical="top"/>
    </xf>
    <xf numFmtId="10" fontId="3" fillId="8" borderId="7" xfId="0" applyNumberFormat="1" applyFont="1" applyFill="1" applyBorder="1" applyAlignment="1">
      <alignment vertical="top"/>
    </xf>
    <xf numFmtId="178" fontId="3" fillId="8" borderId="7" xfId="0" applyNumberFormat="1" applyFont="1" applyFill="1" applyBorder="1" applyAlignment="1">
      <alignment vertical="top"/>
    </xf>
    <xf numFmtId="166" fontId="7" fillId="0" borderId="0" xfId="0" applyNumberFormat="1" applyFont="1" applyAlignment="1">
      <alignment vertical="top"/>
    </xf>
    <xf numFmtId="10" fontId="7" fillId="0" borderId="0" xfId="0" applyNumberFormat="1" applyFont="1" applyAlignment="1">
      <alignment vertical="top"/>
    </xf>
    <xf numFmtId="0" fontId="4" fillId="5" borderId="0" xfId="0" applyFont="1" applyFill="1" applyAlignment="1">
      <alignment vertical="top"/>
    </xf>
    <xf numFmtId="0" fontId="7" fillId="5" borderId="0" xfId="0" applyFont="1" applyFill="1" applyAlignment="1">
      <alignment vertical="top"/>
    </xf>
    <xf numFmtId="168" fontId="4" fillId="0" borderId="0" xfId="0" applyNumberFormat="1" applyFont="1" applyAlignment="1">
      <alignment vertical="top"/>
    </xf>
    <xf numFmtId="167" fontId="1" fillId="0" borderId="0" xfId="0" applyNumberFormat="1" applyFont="1" applyAlignment="1">
      <alignment vertical="top"/>
    </xf>
    <xf numFmtId="185" fontId="2" fillId="0" borderId="0" xfId="0" applyNumberFormat="1" applyFont="1" applyAlignment="1">
      <alignment vertical="top"/>
    </xf>
    <xf numFmtId="2" fontId="2" fillId="0" borderId="0" xfId="0" applyNumberFormat="1" applyFont="1" applyAlignment="1">
      <alignment vertical="top"/>
    </xf>
    <xf numFmtId="186" fontId="1" fillId="0" borderId="0" xfId="0" applyNumberFormat="1" applyFont="1" applyAlignment="1">
      <alignment vertical="top"/>
    </xf>
    <xf numFmtId="0" fontId="11" fillId="0" borderId="0" xfId="0" applyFont="1" applyAlignment="1">
      <alignment vertical="top"/>
    </xf>
    <xf numFmtId="0" fontId="4" fillId="0" borderId="0" xfId="0" applyFont="1" applyAlignment="1">
      <alignment horizontal="right" vertical="top" wrapText="1"/>
    </xf>
    <xf numFmtId="9" fontId="2" fillId="0" borderId="0" xfId="0" applyNumberFormat="1" applyFont="1" applyAlignment="1">
      <alignment vertical="top"/>
    </xf>
    <xf numFmtId="176" fontId="2" fillId="0" borderId="0" xfId="0" applyNumberFormat="1" applyFont="1" applyAlignment="1">
      <alignment vertical="top"/>
    </xf>
    <xf numFmtId="3" fontId="7" fillId="0" borderId="0" xfId="0" applyNumberFormat="1" applyFont="1" applyAlignment="1">
      <alignment vertical="top"/>
    </xf>
    <xf numFmtId="179" fontId="7" fillId="0" borderId="0" xfId="0" applyNumberFormat="1" applyFont="1" applyAlignment="1">
      <alignment vertical="top"/>
    </xf>
    <xf numFmtId="0" fontId="7" fillId="0" borderId="17" xfId="0" applyFont="1" applyBorder="1" applyAlignment="1">
      <alignment vertical="top"/>
    </xf>
    <xf numFmtId="9" fontId="2" fillId="0" borderId="17" xfId="0" applyNumberFormat="1" applyFont="1" applyBorder="1" applyAlignment="1">
      <alignment vertical="top"/>
    </xf>
    <xf numFmtId="176" fontId="2" fillId="0" borderId="17" xfId="0" applyNumberFormat="1" applyFont="1" applyBorder="1" applyAlignment="1">
      <alignment vertical="top"/>
    </xf>
    <xf numFmtId="3" fontId="2" fillId="0" borderId="17" xfId="0" applyNumberFormat="1" applyFont="1" applyBorder="1" applyAlignment="1">
      <alignment vertical="top"/>
    </xf>
    <xf numFmtId="179" fontId="2" fillId="0" borderId="17" xfId="0" applyNumberFormat="1" applyFont="1" applyBorder="1" applyAlignment="1">
      <alignment vertical="top"/>
    </xf>
    <xf numFmtId="0" fontId="4" fillId="0" borderId="16" xfId="0" applyFont="1" applyBorder="1" applyAlignment="1">
      <alignment vertical="top"/>
    </xf>
    <xf numFmtId="9" fontId="4" fillId="0" borderId="16" xfId="0" applyNumberFormat="1" applyFont="1" applyBorder="1" applyAlignment="1">
      <alignment vertical="top"/>
    </xf>
    <xf numFmtId="176" fontId="11" fillId="0" borderId="16" xfId="0" applyNumberFormat="1" applyFont="1" applyBorder="1" applyAlignment="1">
      <alignment vertical="top"/>
    </xf>
    <xf numFmtId="3" fontId="11" fillId="0" borderId="16" xfId="0" applyNumberFormat="1" applyFont="1" applyBorder="1" applyAlignment="1">
      <alignment vertical="top"/>
    </xf>
    <xf numFmtId="179" fontId="11" fillId="0" borderId="16" xfId="0" applyNumberFormat="1" applyFont="1" applyBorder="1" applyAlignment="1">
      <alignment vertical="top"/>
    </xf>
    <xf numFmtId="0" fontId="11" fillId="0" borderId="16" xfId="0" applyFont="1" applyBorder="1" applyAlignment="1">
      <alignment horizontal="left" vertical="top"/>
    </xf>
    <xf numFmtId="0" fontId="14" fillId="0" borderId="0" xfId="1" applyFont="1" applyAlignment="1">
      <alignment vertical="top"/>
    </xf>
    <xf numFmtId="183" fontId="2" fillId="0" borderId="0" xfId="0" applyNumberFormat="1" applyFont="1" applyAlignment="1">
      <alignment vertical="top"/>
    </xf>
    <xf numFmtId="166" fontId="22" fillId="8" borderId="1" xfId="0" applyNumberFormat="1" applyFont="1" applyFill="1" applyBorder="1"/>
    <xf numFmtId="0" fontId="6" fillId="0" borderId="0" xfId="0" applyFont="1" applyAlignment="1">
      <alignment wrapText="1"/>
    </xf>
    <xf numFmtId="0" fontId="13" fillId="0" borderId="0" xfId="1"/>
    <xf numFmtId="187" fontId="7" fillId="0" borderId="0" xfId="0" applyNumberFormat="1" applyFont="1"/>
    <xf numFmtId="0" fontId="26" fillId="0" borderId="0" xfId="0" applyFont="1"/>
    <xf numFmtId="0" fontId="5" fillId="9" borderId="0" xfId="0" applyFont="1" applyFill="1" applyAlignment="1">
      <alignment horizontal="right"/>
    </xf>
    <xf numFmtId="0" fontId="5" fillId="9" borderId="0" xfId="0" applyFont="1" applyFill="1" applyAlignment="1">
      <alignment horizontal="left"/>
    </xf>
    <xf numFmtId="175" fontId="7" fillId="0" borderId="0" xfId="0" applyNumberFormat="1" applyFont="1" applyAlignment="1">
      <alignment horizontal="right" vertical="top"/>
    </xf>
    <xf numFmtId="0" fontId="27" fillId="0" borderId="0" xfId="0" applyFont="1" applyAlignment="1">
      <alignment vertical="top" wrapText="1"/>
    </xf>
    <xf numFmtId="179" fontId="7" fillId="0" borderId="0" xfId="0" applyNumberFormat="1" applyFont="1" applyAlignment="1">
      <alignment horizontal="right" vertical="top"/>
    </xf>
    <xf numFmtId="10" fontId="7" fillId="0" borderId="0" xfId="0" applyNumberFormat="1" applyFont="1" applyAlignment="1">
      <alignment horizontal="right" vertical="top"/>
    </xf>
    <xf numFmtId="0" fontId="27" fillId="0" borderId="0" xfId="0" applyFont="1"/>
    <xf numFmtId="188" fontId="25" fillId="0" borderId="0" xfId="0" applyNumberFormat="1" applyFont="1" applyAlignment="1">
      <alignment horizontal="right"/>
    </xf>
    <xf numFmtId="188" fontId="7" fillId="0" borderId="0" xfId="0" applyNumberFormat="1" applyFont="1" applyAlignment="1">
      <alignment horizontal="right"/>
    </xf>
    <xf numFmtId="176" fontId="25" fillId="0" borderId="0" xfId="0" applyNumberFormat="1" applyFont="1" applyAlignment="1">
      <alignment horizontal="right"/>
    </xf>
    <xf numFmtId="176" fontId="7" fillId="0" borderId="0" xfId="0" applyNumberFormat="1" applyFont="1" applyAlignment="1">
      <alignment horizontal="right"/>
    </xf>
    <xf numFmtId="189" fontId="7" fillId="0" borderId="0" xfId="0" applyNumberFormat="1" applyFont="1" applyAlignment="1">
      <alignment horizontal="right"/>
    </xf>
    <xf numFmtId="175" fontId="3" fillId="8" borderId="9" xfId="0" applyNumberFormat="1" applyFont="1" applyFill="1" applyBorder="1" applyAlignment="1" applyProtection="1">
      <alignment vertical="top"/>
      <protection locked="0"/>
    </xf>
    <xf numFmtId="179" fontId="3" fillId="8" borderId="9" xfId="0" applyNumberFormat="1" applyFont="1" applyFill="1" applyBorder="1" applyAlignment="1" applyProtection="1">
      <alignment vertical="top"/>
      <protection locked="0"/>
    </xf>
    <xf numFmtId="10" fontId="3" fillId="8" borderId="9" xfId="0" applyNumberFormat="1" applyFont="1" applyFill="1" applyBorder="1" applyAlignment="1" applyProtection="1">
      <alignment vertical="top"/>
      <protection locked="0"/>
    </xf>
    <xf numFmtId="0" fontId="27" fillId="0" borderId="0" xfId="0" applyFont="1" applyAlignment="1">
      <alignment wrapText="1"/>
    </xf>
    <xf numFmtId="0" fontId="5" fillId="9" borderId="0" xfId="0" applyFont="1" applyFill="1" applyAlignment="1">
      <alignment horizontal="right" wrapText="1"/>
    </xf>
    <xf numFmtId="0" fontId="7" fillId="0" borderId="0" xfId="0" applyFont="1" applyAlignment="1">
      <alignment vertical="top" wrapText="1"/>
    </xf>
    <xf numFmtId="0" fontId="23" fillId="0" borderId="0" xfId="0" applyFont="1" applyAlignment="1">
      <alignment vertical="top" wrapText="1"/>
    </xf>
    <xf numFmtId="0" fontId="6" fillId="0" borderId="0" xfId="0" applyFont="1" applyAlignment="1">
      <alignment vertical="top" wrapText="1"/>
    </xf>
    <xf numFmtId="0" fontId="1" fillId="0" borderId="0" xfId="0" applyFont="1" applyAlignment="1">
      <alignment vertical="top" wrapText="1"/>
    </xf>
    <xf numFmtId="0" fontId="4" fillId="0" borderId="0" xfId="0" applyFont="1" applyAlignment="1">
      <alignment vertical="top" wrapText="1"/>
    </xf>
  </cellXfs>
  <cellStyles count="2">
    <cellStyle name="Hyperlink" xfId="1" builtinId="8"/>
    <cellStyle name="Normal" xfId="0" builtinId="0"/>
  </cellStyles>
  <dxfs count="11">
    <dxf>
      <fill>
        <patternFill patternType="solid">
          <fgColor rgb="FFFFC7CE"/>
        </patternFill>
      </fill>
    </dxf>
    <dxf>
      <fill>
        <patternFill patternType="solid">
          <fgColor rgb="FFC6EFCE"/>
        </patternFill>
      </fill>
    </dxf>
    <dxf>
      <fill>
        <patternFill patternType="solid">
          <fgColor rgb="FFFFC7CE"/>
        </patternFill>
      </fill>
    </dxf>
    <dxf>
      <fill>
        <patternFill patternType="solid">
          <fgColor rgb="FFC6EFCE"/>
        </patternFill>
      </fill>
    </dxf>
    <dxf>
      <fill>
        <patternFill patternType="solid">
          <fgColor rgb="FFE2EFDA"/>
        </patternFill>
      </fill>
    </dxf>
    <dxf>
      <fill>
        <patternFill patternType="solid">
          <fgColor rgb="FFA9D08E"/>
        </patternFill>
      </fill>
    </dxf>
    <dxf>
      <fill>
        <patternFill patternType="solid">
          <fgColor rgb="FFF8CBAD"/>
        </patternFill>
      </fill>
    </dxf>
    <dxf>
      <fill>
        <patternFill patternType="solid">
          <fgColor rgb="FFF8CBAD"/>
        </patternFill>
      </fill>
    </dxf>
    <dxf>
      <fill>
        <patternFill patternType="solid">
          <fgColor rgb="FFE2EFDA"/>
        </patternFill>
      </fill>
    </dxf>
    <dxf>
      <fill>
        <patternFill patternType="solid">
          <fgColor rgb="FFA9D08E"/>
        </patternFill>
      </fill>
    </dxf>
    <dxf>
      <fill>
        <patternFill patternType="solid">
          <fgColor rgb="FFF8CBAD"/>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s>
</file>

<file path=xl/worksheets/_rels/sheet6.xml.rels><?xml version="1.0" encoding="UTF-8" standalone="yes"?>
<Relationships xmlns="http://schemas.openxmlformats.org/package/2006/relationships"></Relationships>
</file>

<file path=xl/worksheets/_rels/sheet7.xml.rels><?xml version="1.0" encoding="UTF-8" standalone="yes"?>
<Relationships xmlns="http://schemas.openxmlformats.org/package/2006/relationships"></Relationships>
</file>

<file path=xl/worksheets/_rels/sheet8.xml.rels><?xml version="1.0" encoding="UTF-8" standalone="yes"?>
<Relationships xmlns="http://schemas.openxmlformats.org/package/2006/relationships"></Relationships>
</file>

<file path=xl/worksheets/_rels/sheet9.xml.rels><?xml version="1.0" encoding="UTF-8" standalone="yes"?>
<Relationships xmlns="http://schemas.openxmlformats.org/package/2006/relationships"></Relationships>
</file>

<file path=xl/worksheets/_rels/sheet10.xml.rels><?xml version="1.0" encoding="UTF-8" standalone="yes"?>
<Relationships xmlns="http://schemas.openxmlformats.org/package/2006/relationships"></Relationships>
</file>

<file path=xl/worksheets/_rels/sheet11.xml.rels><?xml version="1.0" encoding="UTF-8" standalone="yes"?>
<Relationships xmlns="http://schemas.openxmlformats.org/package/2006/relationships"></Relationships>
</file>

<file path=xl/worksheets/_rels/sheet12.xml.rels><?xml version="1.0" encoding="UTF-8" standalone="yes"?>
<Relationships xmlns="http://schemas.openxmlformats.org/package/2006/relationships"></Relationships>
</file>

<file path=xl/worksheets/_rels/sheet13.xml.rels><?xml version="1.0" encoding="UTF-8" standalone="yes"?>
<Relationships xmlns="http://schemas.openxmlformats.org/package/2006/relationships"></Relationships>
</file>

<file path=xl/worksheets/_rels/sheet14.xml.rels><?xml version="1.0" encoding="UTF-8" standalone="yes"?>
<Relationships xmlns="http://schemas.openxmlformats.org/package/2006/relationships"></Relationships>
</file>

<file path=xl/worksheets/_rels/sheet1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s>
</file>

<file path=xl/worksheets/_rels/sheet16.xml.rels><?xml version="1.0" encoding="UTF-8" standalone="yes"?>
<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FFC000"/>
    <pageSetUpPr fitToPage="1"/>
  </sheetPr>
  <dimension ref="A1:I29"/>
  <sheetViews>
    <sheetView showGridLines="0" tabSelected="1" workbookViewId="0">
      <selection activeCell="E7" sqref="E7"/>
    </sheetView>
  </sheetViews>
  <sheetFormatPr defaultRowHeight="12.75" x14ac:dyDescent="0.2"/>
  <cols>
    <col min="1" max="3" width="2.7109375" style="10" customWidth="1"/>
    <col min="4" max="4" width="62.7109375" style="10" customWidth="1"/>
    <col min="5" max="6" width="14.7109375" style="10" customWidth="1"/>
    <col min="7" max="7" width="15.7109375" style="10" customWidth="1"/>
    <col min="8" max="8" width="19.7109375" style="10" customWidth="1"/>
    <col min="9" max="9" width="70.7109375" style="10" customWidth="1"/>
    <col min="10" max="16384" width="9.140625" style="10"/>
  </cols>
  <sheetData>
    <row r="1" spans="1:9" ht="18" x14ac:dyDescent="0.25">
      <c r="A1" s="178" t="s">
        <v>2148</v>
      </c>
    </row>
    <row r="2" spans="1:9" ht="15.75" x14ac:dyDescent="0.25">
      <c r="A2" s="345" t="s">
        <v>2213</v>
      </c>
    </row>
    <row r="3" spans="1:9" x14ac:dyDescent="0.2">
      <c r="A3" s="10" t="s">
        <v>2214</v>
      </c>
    </row>
    <row r="5" spans="1:9" ht="27" customHeight="1" x14ac:dyDescent="0.2">
      <c r="B5" s="6"/>
      <c r="C5" s="6"/>
      <c r="D5" s="6" t="s">
        <v>2215</v>
      </c>
      <c r="E5" s="346" t="s">
        <v>2216</v>
      </c>
      <c r="F5" s="346" t="s">
        <v>2217</v>
      </c>
      <c r="G5" s="346" t="s">
        <v>2218</v>
      </c>
      <c r="H5" s="362" t="s">
        <v>2287</v>
      </c>
      <c r="I5" s="347" t="s">
        <v>1713</v>
      </c>
    </row>
    <row r="7" spans="1:9" ht="25.5" x14ac:dyDescent="0.2">
      <c r="A7" s="23"/>
      <c r="B7" s="23"/>
      <c r="C7" s="23"/>
      <c r="D7" s="45" t="s">
        <v>2219</v>
      </c>
      <c r="E7" s="358">
        <v>735.11907759088444</v>
      </c>
      <c r="F7" s="348">
        <f>'Revenue Engine'!$F$49</f>
        <v>167.38019804359999</v>
      </c>
      <c r="G7" s="348">
        <f>Sensitivities!$G$157</f>
        <v>735.11907759088444</v>
      </c>
      <c r="H7" s="348">
        <f>Sensitivities!$K$157</f>
        <v>1010.7652740097667</v>
      </c>
      <c r="I7" s="349" t="s">
        <v>2224</v>
      </c>
    </row>
    <row r="8" spans="1:9" ht="25.5" x14ac:dyDescent="0.2">
      <c r="A8" s="23"/>
      <c r="B8" s="23"/>
      <c r="C8" s="23"/>
      <c r="D8" s="45" t="s">
        <v>2220</v>
      </c>
      <c r="E8" s="359">
        <v>0.43666882645446181</v>
      </c>
      <c r="F8" s="350">
        <f>'Revenue Engine'!$F$79</f>
        <v>0.42138409054640386</v>
      </c>
      <c r="G8" s="350">
        <f>Sensitivities!$G$160</f>
        <v>0.43666882645446181</v>
      </c>
      <c r="H8" s="350">
        <f>Sensitivities!$K$160</f>
        <v>0.44050224592509374</v>
      </c>
      <c r="I8" s="349" t="s">
        <v>2225</v>
      </c>
    </row>
    <row r="9" spans="1:9" x14ac:dyDescent="0.2">
      <c r="A9" s="23"/>
      <c r="B9" s="23"/>
      <c r="C9" s="23"/>
      <c r="D9" s="45" t="s">
        <v>2221</v>
      </c>
      <c r="E9" s="359"/>
      <c r="F9" s="350" t="s">
        <v>2223</v>
      </c>
      <c r="G9" s="350">
        <f>Sensitivities!$G$161</f>
        <v>0.25783147702839776</v>
      </c>
      <c r="H9" s="350">
        <f>Sensitivities!$K$161</f>
        <v>0.25680388673266397</v>
      </c>
      <c r="I9" s="349" t="s">
        <v>2226</v>
      </c>
    </row>
    <row r="10" spans="1:9" ht="25.5" x14ac:dyDescent="0.2">
      <c r="A10" s="23"/>
      <c r="B10" s="23"/>
      <c r="C10" s="23"/>
      <c r="D10" s="45" t="s">
        <v>2222</v>
      </c>
      <c r="E10" s="360">
        <v>9.69E-2</v>
      </c>
      <c r="F10" s="351" t="s">
        <v>1798</v>
      </c>
      <c r="G10" s="351">
        <v>9.69E-2</v>
      </c>
      <c r="H10" s="351">
        <v>9.69E-2</v>
      </c>
      <c r="I10" s="349" t="s">
        <v>2227</v>
      </c>
    </row>
    <row r="12" spans="1:9" ht="27" customHeight="1" x14ac:dyDescent="0.2">
      <c r="B12" s="6"/>
      <c r="C12" s="6"/>
      <c r="D12" s="6" t="s">
        <v>2228</v>
      </c>
      <c r="E12" s="346" t="s">
        <v>2216</v>
      </c>
      <c r="F12" s="6"/>
      <c r="G12" s="346" t="s">
        <v>2218</v>
      </c>
      <c r="H12" s="362" t="s">
        <v>2287</v>
      </c>
      <c r="I12" s="6"/>
    </row>
    <row r="13" spans="1:9" x14ac:dyDescent="0.2">
      <c r="D13" s="10" t="s">
        <v>4</v>
      </c>
      <c r="E13" s="353">
        <f>Sensitivities!$F$508</f>
        <v>1415.584379662298</v>
      </c>
      <c r="F13" s="354"/>
      <c r="G13" s="354">
        <f>Sensitivities!$G$151</f>
        <v>1415.584379662298</v>
      </c>
      <c r="H13" s="354">
        <f>Sensitivities!$K$151</f>
        <v>2143.5382702193083</v>
      </c>
      <c r="I13" s="361" t="str">
        <f>IF(E13&lt;0,"Below zero: costs and commitments outrun revenue in your case, so read this as no equity value.","")</f>
        <v/>
      </c>
    </row>
    <row r="14" spans="1:9" x14ac:dyDescent="0.2">
      <c r="D14" s="10" t="s">
        <v>2229</v>
      </c>
      <c r="E14" s="355">
        <f>Sensitivities!$F$509</f>
        <v>82.237886931210411</v>
      </c>
      <c r="F14" s="356"/>
      <c r="G14" s="356">
        <f>Sensitivities!$G$152</f>
        <v>82.237886931210411</v>
      </c>
      <c r="H14" s="356">
        <f>Sensitivities!$K$152</f>
        <v>122.08638966243501</v>
      </c>
    </row>
    <row r="15" spans="1:9" x14ac:dyDescent="0.2">
      <c r="D15" s="10" t="s">
        <v>2288</v>
      </c>
      <c r="E15" s="357">
        <f>E13/1500-1</f>
        <v>-5.6277080225134668E-2</v>
      </c>
      <c r="F15" s="357"/>
      <c r="G15" s="357">
        <f>G13/1500-1</f>
        <v>-5.6277080225134668E-2</v>
      </c>
      <c r="H15" s="357">
        <f>H13/1500-1</f>
        <v>0.42902551347953888</v>
      </c>
    </row>
    <row r="16" spans="1:9" x14ac:dyDescent="0.2">
      <c r="D16" s="10" t="s">
        <v>2289</v>
      </c>
      <c r="E16" s="357">
        <f>E13/2000-1</f>
        <v>-0.292207810168851</v>
      </c>
      <c r="F16" s="357"/>
      <c r="G16" s="357">
        <f>G13/2000-1</f>
        <v>-0.292207810168851</v>
      </c>
      <c r="H16" s="357">
        <f>H13/2000-1</f>
        <v>7.1769135109654103E-2</v>
      </c>
    </row>
    <row r="17" spans="2:9" x14ac:dyDescent="0.2">
      <c r="D17" s="10" t="s">
        <v>2230</v>
      </c>
      <c r="E17" s="354">
        <f>Sensitivities!$F$512</f>
        <v>410.53137216965069</v>
      </c>
      <c r="F17" s="354"/>
      <c r="G17" s="354">
        <f>Sensitivities!$G$155</f>
        <v>410.53137216965064</v>
      </c>
      <c r="H17" s="354">
        <f>Sensitivities!$K$155</f>
        <v>575.64313614196635</v>
      </c>
      <c r="I17" s="352" t="s">
        <v>2235</v>
      </c>
    </row>
    <row r="18" spans="2:9" x14ac:dyDescent="0.2">
      <c r="D18" s="10" t="s">
        <v>2231</v>
      </c>
      <c r="E18" s="354">
        <f>Sensitivities!$F$513</f>
        <v>737.80325502079654</v>
      </c>
      <c r="F18" s="354"/>
      <c r="G18" s="354">
        <f>Sensitivities!$G$156</f>
        <v>737.80325502079654</v>
      </c>
      <c r="H18" s="354">
        <f>Sensitivities!$K$156</f>
        <v>1116.3944918890231</v>
      </c>
    </row>
    <row r="19" spans="2:9" x14ac:dyDescent="0.2">
      <c r="D19" s="10" t="s">
        <v>2232</v>
      </c>
      <c r="E19" s="197">
        <f>Sensitivities!$F$514</f>
        <v>5.9994689892712387E-2</v>
      </c>
      <c r="F19" s="197"/>
      <c r="G19" s="197">
        <f>Sensitivities!$G$159</f>
        <v>5.9994689892712387E-2</v>
      </c>
      <c r="H19" s="197">
        <f>Sensitivities!$K$159</f>
        <v>8.9989946366885815E-2</v>
      </c>
    </row>
    <row r="20" spans="2:9" x14ac:dyDescent="0.2">
      <c r="D20" s="10" t="s">
        <v>2220</v>
      </c>
      <c r="E20" s="197">
        <f>Sensitivities!$F$515</f>
        <v>0.43666882645446181</v>
      </c>
      <c r="F20" s="197"/>
      <c r="G20" s="197">
        <f>Sensitivities!$G$160</f>
        <v>0.43666882645446181</v>
      </c>
      <c r="H20" s="197">
        <f>Sensitivities!$K$160</f>
        <v>0.44050224592509374</v>
      </c>
    </row>
    <row r="21" spans="2:9" x14ac:dyDescent="0.2">
      <c r="D21" s="10" t="s">
        <v>2233</v>
      </c>
      <c r="E21" s="197">
        <f>Sensitivities!$F$516</f>
        <v>0.25783147702839776</v>
      </c>
      <c r="F21" s="197"/>
      <c r="G21" s="197">
        <f>Sensitivities!$G$161</f>
        <v>0.25783147702839776</v>
      </c>
      <c r="H21" s="197">
        <f>Sensitivities!$K$161</f>
        <v>0.25680388673266397</v>
      </c>
    </row>
    <row r="22" spans="2:9" x14ac:dyDescent="0.2">
      <c r="D22" s="10" t="s">
        <v>2234</v>
      </c>
      <c r="E22" s="354">
        <f>Sensitivities!$F$518</f>
        <v>133.3394383798726</v>
      </c>
      <c r="F22" s="354"/>
      <c r="G22" s="354">
        <f>Sensitivities!$G$167</f>
        <v>133.3394383798726</v>
      </c>
      <c r="H22" s="354">
        <f>Sensitivities!$K$167</f>
        <v>133.3394383798726</v>
      </c>
      <c r="I22" s="361" t="str">
        <f>IF(Sensitivities!$F$519&gt;0.5,"Your case runs out of money: it needs financing the filing does not show.",IF(E22&lt;5,"Your case draws on the $42B Broadcom note facility.",""))</f>
        <v/>
      </c>
    </row>
    <row r="24" spans="2:9" x14ac:dyDescent="0.2">
      <c r="B24" s="6"/>
      <c r="C24" s="6"/>
      <c r="D24" s="6" t="s">
        <v>2236</v>
      </c>
      <c r="E24" s="6"/>
      <c r="F24" s="6"/>
      <c r="G24" s="6"/>
      <c r="H24" s="6"/>
      <c r="I24" s="6"/>
    </row>
    <row r="25" spans="2:9" ht="27" customHeight="1" x14ac:dyDescent="0.2">
      <c r="D25" s="363" t="s">
        <v>2237</v>
      </c>
      <c r="E25" s="363"/>
      <c r="F25" s="363"/>
      <c r="G25" s="363"/>
      <c r="H25" s="363"/>
      <c r="I25" s="363"/>
    </row>
    <row r="26" spans="2:9" ht="27" customHeight="1" x14ac:dyDescent="0.2">
      <c r="D26" s="363" t="s">
        <v>2238</v>
      </c>
      <c r="E26" s="363"/>
      <c r="F26" s="363"/>
      <c r="G26" s="363"/>
      <c r="H26" s="363"/>
      <c r="I26" s="363"/>
    </row>
    <row r="27" spans="2:9" ht="27" customHeight="1" x14ac:dyDescent="0.2">
      <c r="D27" s="363" t="s">
        <v>2241</v>
      </c>
      <c r="E27" s="363"/>
      <c r="F27" s="363"/>
      <c r="G27" s="363"/>
      <c r="H27" s="363"/>
      <c r="I27" s="363"/>
    </row>
    <row r="28" spans="2:9" ht="27" customHeight="1" x14ac:dyDescent="0.2">
      <c r="D28" s="363" t="s">
        <v>2239</v>
      </c>
      <c r="E28" s="363"/>
      <c r="F28" s="363"/>
      <c r="G28" s="363"/>
      <c r="H28" s="363"/>
      <c r="I28" s="363"/>
    </row>
    <row r="29" spans="2:9" ht="27" customHeight="1" x14ac:dyDescent="0.2">
      <c r="D29" s="363" t="s">
        <v>2240</v>
      </c>
      <c r="E29" s="363"/>
      <c r="F29" s="363"/>
      <c r="G29" s="363"/>
      <c r="H29" s="363"/>
      <c r="I29" s="363"/>
    </row>
  </sheetData>
  <sheetProtection sheet="1" objects="1" scenarios="1"/>
  <mergeCells count="5">
    <mergeCell ref="D25:I25"/>
    <mergeCell ref="D26:I26"/>
    <mergeCell ref="D27:I27"/>
    <mergeCell ref="D28:I28"/>
    <mergeCell ref="D29:I29"/>
  </mergeCells>
  <dataValidations count="4">
    <dataValidation type="decimal" allowBlank="1" showInputMessage="1" showErrorMessage="1" errorTitle="AI spend" error="Enter $100 to $3,000 a month." promptTitle="AI spend" prompt="Enter $100 to $3,000 a month." sqref="E7">
      <formula1>100</formula1>
      <formula2>3000</formula2>
    </dataValidation>
    <dataValidation type="decimal" allowBlank="1" showInputMessage="1" showErrorMessage="1" errorTitle="Market share" error="Enter 5% to 65%." promptTitle="Market share" prompt="Enter 5% to 65%." sqref="E8">
      <formula1>0.05</formula1>
      <formula2>0.65</formula2>
    </dataValidation>
    <dataValidation type="decimal" allowBlank="1" showInputMessage="1" showErrorMessage="1" errorTitle="Margin" error="Enter 0% to 60%, or leave blank." promptTitle="Margin" prompt="Enter 0% to 60%, or leave blank." sqref="E9">
      <formula1>0</formula1>
      <formula2>0.6</formula2>
    </dataValidation>
    <dataValidation type="decimal" allowBlank="1" showInputMessage="1" showErrorMessage="1" errorTitle="Discount rate" error="Enter 6% to 16%." promptTitle="Discount rate" prompt="Enter 6% to 16%." sqref="E10">
      <formula1>0.06</formula1>
      <formula2>0.16</formula2>
    </dataValidation>
  </dataValidations>
  <pageMargins left="0.7" right="0.7" top="0.75" bottom="0.75" header="0.3" footer="0.3"/>
  <pageSetup scale="59" orientation="landscape"/>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002060"/>
    <pageSetUpPr fitToPage="1"/>
  </sheetPr>
  <dimension ref="A1:J63"/>
  <sheetViews>
    <sheetView showGridLines="0" workbookViewId="0"/>
  </sheetViews>
  <sheetFormatPr defaultRowHeight="12.75" x14ac:dyDescent="0.2"/>
  <cols>
    <col min="1" max="3" width="2.7109375" style="10" customWidth="1"/>
    <col min="4" max="4" width="56.7109375" style="23" customWidth="1"/>
    <col min="5" max="5" width="12.7109375" style="23" customWidth="1"/>
    <col min="6" max="6" width="15.7109375" style="23" customWidth="1"/>
    <col min="7" max="8" width="13.7109375" style="23" customWidth="1"/>
    <col min="9" max="10" width="15.7109375" style="23" customWidth="1"/>
    <col min="11" max="16384" width="9.140625" style="10"/>
  </cols>
  <sheetData>
    <row r="1" spans="1:10" ht="18" x14ac:dyDescent="0.25">
      <c r="A1" s="178" t="s">
        <v>2148</v>
      </c>
    </row>
    <row r="2" spans="1:10" ht="15" x14ac:dyDescent="0.25">
      <c r="A2" s="179" t="s">
        <v>2044</v>
      </c>
    </row>
    <row r="3" spans="1:10" x14ac:dyDescent="0.2">
      <c r="A3" s="7" t="s">
        <v>2272</v>
      </c>
    </row>
    <row r="4" spans="1:10" x14ac:dyDescent="0.2">
      <c r="A4" s="7" t="s">
        <v>2144</v>
      </c>
    </row>
    <row r="5" spans="1:10" ht="27" customHeight="1" x14ac:dyDescent="0.2">
      <c r="D5" s="23" t="s">
        <v>2045</v>
      </c>
      <c r="E5" s="174">
        <v>2</v>
      </c>
      <c r="F5" s="322" t="str">
        <f>Model!$F$5</f>
        <v>Base</v>
      </c>
      <c r="G5" s="363" t="s">
        <v>2046</v>
      </c>
      <c r="H5" s="363"/>
      <c r="I5" s="363"/>
      <c r="J5" s="363"/>
    </row>
    <row r="6" spans="1:10" ht="27" customHeight="1" x14ac:dyDescent="0.2">
      <c r="D6" s="23" t="s">
        <v>24</v>
      </c>
      <c r="E6" s="322" t="str">
        <f>IF(Checks!$F$93,"All pass",IF(Scenario&lt;&gt;2,"See note","FAILURE"))</f>
        <v>All pass</v>
      </c>
      <c r="F6" s="2" t="str">
        <f>COUNTIF(Checks!$F$13:$F$92,TRUE)+COUNTIF(Checks!$F$96:$F$105,TRUE)&amp;" pass, "&amp;(COUNTIF(Checks!$F$13:$F$92,FALSE)+COUNTIF(Checks!$F$96:$F$105,FALSE))&amp;" fail"</f>
        <v>84 pass, 0 fail</v>
      </c>
      <c r="G6" s="364" t="str">
        <f>IF(Scenario&lt;&gt;2,"Set the selector to 2 before reading checks: the reverse, plan and R3 x margin grid checks only hold on Base.","")</f>
        <v/>
      </c>
      <c r="H6" s="363"/>
      <c r="I6" s="363"/>
      <c r="J6" s="363"/>
    </row>
    <row r="8" spans="1:10" ht="18" customHeight="1" x14ac:dyDescent="0.2">
      <c r="B8" s="5" t="s">
        <v>8</v>
      </c>
      <c r="C8" s="5" t="s">
        <v>8</v>
      </c>
      <c r="D8" s="25" t="s">
        <v>2273</v>
      </c>
      <c r="E8" s="26"/>
      <c r="F8" s="26"/>
      <c r="G8" s="26"/>
      <c r="H8" s="26"/>
      <c r="I8" s="26"/>
      <c r="J8" s="26"/>
    </row>
    <row r="9" spans="1:10" ht="25.5" x14ac:dyDescent="0.2">
      <c r="D9" s="164" t="s">
        <v>2050</v>
      </c>
      <c r="E9" s="323" t="s">
        <v>2047</v>
      </c>
      <c r="F9" s="323" t="s">
        <v>2048</v>
      </c>
      <c r="G9" s="323" t="s">
        <v>1130</v>
      </c>
      <c r="H9" s="323" t="s">
        <v>2049</v>
      </c>
      <c r="I9" s="323" t="s">
        <v>1319</v>
      </c>
      <c r="J9" s="323" t="s">
        <v>1683</v>
      </c>
    </row>
    <row r="10" spans="1:10" x14ac:dyDescent="0.2">
      <c r="D10" s="23" t="s">
        <v>2051</v>
      </c>
      <c r="E10" s="324">
        <f>Summary!$K$8</f>
        <v>0.05</v>
      </c>
      <c r="F10" s="325">
        <f>Summary!$K$6</f>
        <v>165.80522865773676</v>
      </c>
      <c r="G10" s="289">
        <f>Summary!$K$7</f>
        <v>2911.1341076840658</v>
      </c>
      <c r="H10" s="287">
        <f>Summary!$K$9</f>
        <v>0.94075607178937726</v>
      </c>
      <c r="I10" s="326"/>
      <c r="J10" s="327"/>
    </row>
    <row r="11" spans="1:10" x14ac:dyDescent="0.2">
      <c r="D11" s="328" t="s">
        <v>1824</v>
      </c>
      <c r="E11" s="329">
        <f>Summary!$J$8</f>
        <v>0.2</v>
      </c>
      <c r="F11" s="330">
        <f>Summary!$J$6</f>
        <v>122.08638966243501</v>
      </c>
      <c r="G11" s="331">
        <f>Summary!$J$7</f>
        <v>2143.5382702193083</v>
      </c>
      <c r="H11" s="332">
        <f>Summary!$J$9</f>
        <v>0.42902551347953888</v>
      </c>
      <c r="I11" s="331">
        <f>Summary!$J$24</f>
        <v>1116.3944918890231</v>
      </c>
      <c r="J11" s="332">
        <f>Summary!$J$26</f>
        <v>0.25680388673266397</v>
      </c>
    </row>
    <row r="12" spans="1:10" x14ac:dyDescent="0.2">
      <c r="D12" s="328" t="s">
        <v>2</v>
      </c>
      <c r="E12" s="329">
        <f>Summary!$F$8</f>
        <v>0.45</v>
      </c>
      <c r="F12" s="330">
        <f>Summary!$F$6</f>
        <v>82.237886931210411</v>
      </c>
      <c r="G12" s="331">
        <f>Summary!$F$7</f>
        <v>1415.584379662298</v>
      </c>
      <c r="H12" s="332">
        <f>Summary!$F$9</f>
        <v>-5.6277080225134668E-2</v>
      </c>
      <c r="I12" s="331">
        <f>Summary!$F$24</f>
        <v>737.80325502079654</v>
      </c>
      <c r="J12" s="332">
        <f>Summary!$F$26</f>
        <v>0.25783147702839776</v>
      </c>
    </row>
    <row r="13" spans="1:10" x14ac:dyDescent="0.2">
      <c r="D13" s="328" t="s">
        <v>1138</v>
      </c>
      <c r="E13" s="329">
        <f>Summary!$I$8</f>
        <v>0.15</v>
      </c>
      <c r="F13" s="330">
        <f>Summary!$I$6</f>
        <v>34.672453989977669</v>
      </c>
      <c r="G13" s="331">
        <f>Summary!$I$7</f>
        <v>585.12442551090192</v>
      </c>
      <c r="H13" s="332">
        <f>Summary!$I$9</f>
        <v>-0.60991704965939875</v>
      </c>
      <c r="I13" s="331">
        <f>Summary!$I$24</f>
        <v>391.99343047620715</v>
      </c>
      <c r="J13" s="332">
        <f>Summary!$I$26</f>
        <v>0.1916887017636858</v>
      </c>
    </row>
    <row r="14" spans="1:10" x14ac:dyDescent="0.2">
      <c r="D14" s="328" t="s">
        <v>1137</v>
      </c>
      <c r="E14" s="329">
        <f>Summary!$H$8</f>
        <v>0.15</v>
      </c>
      <c r="F14" s="330">
        <f>Summary!$H$6</f>
        <v>16.698088546361145</v>
      </c>
      <c r="G14" s="331">
        <f>Summary!$H$7</f>
        <v>281.79313384175123</v>
      </c>
      <c r="H14" s="332">
        <f>Summary!$H$9</f>
        <v>-0.81213791077216579</v>
      </c>
      <c r="I14" s="331">
        <f>Summary!$H$24</f>
        <v>247.27395704942376</v>
      </c>
      <c r="J14" s="332">
        <f>Summary!$H$26</f>
        <v>0.19755546544338135</v>
      </c>
    </row>
    <row r="15" spans="1:10" x14ac:dyDescent="0.2">
      <c r="D15" s="333" t="s">
        <v>2052</v>
      </c>
      <c r="E15" s="334">
        <f>SUM(E10:E14)</f>
        <v>1</v>
      </c>
      <c r="F15" s="335">
        <f>Summary!$E$14</f>
        <v>77.420169864869351</v>
      </c>
      <c r="G15" s="336">
        <f>Summary!$E$15</f>
        <v>1341.3149641789969</v>
      </c>
      <c r="H15" s="337">
        <f>G15/Target1p5T-1</f>
        <v>-0.10579002388066872</v>
      </c>
      <c r="I15" s="338"/>
      <c r="J15" s="333"/>
    </row>
    <row r="16" spans="1:10" x14ac:dyDescent="0.2">
      <c r="D16" s="53" t="str">
        <f>"Range across the weighted cases: "&amp;Summary!$F$13</f>
        <v>Range across the weighted cases: $17 to $166 across the 5 weighted cases</v>
      </c>
    </row>
    <row r="17" spans="2:10" x14ac:dyDescent="0.2">
      <c r="D17" s="164" t="s">
        <v>2053</v>
      </c>
    </row>
    <row r="18" spans="2:10" x14ac:dyDescent="0.2">
      <c r="D18" s="23" t="s">
        <v>1537</v>
      </c>
      <c r="F18" s="325">
        <f>Summary!$G$6</f>
        <v>181.12115013857618</v>
      </c>
      <c r="G18" s="289">
        <f>Summary!$G$7</f>
        <v>3180.0442124764832</v>
      </c>
      <c r="H18" s="287">
        <f>Summary!$G$9</f>
        <v>1.1200294749843223</v>
      </c>
      <c r="I18" s="289">
        <f>Summary!$G$24</f>
        <v>1400.0237233271691</v>
      </c>
      <c r="J18" s="287">
        <f>Summary!$G$26</f>
        <v>0.31091118665162942</v>
      </c>
    </row>
    <row r="19" spans="2:10" x14ac:dyDescent="0.2">
      <c r="D19" s="23" t="s">
        <v>1136</v>
      </c>
      <c r="F19" s="325">
        <f>Summary!$E$6</f>
        <v>14.190657849216866</v>
      </c>
      <c r="G19" s="289">
        <f>Summary!$E$7</f>
        <v>239.4783052865229</v>
      </c>
      <c r="H19" s="287">
        <f>Summary!$E$9</f>
        <v>-0.84034779647565139</v>
      </c>
      <c r="I19" s="289">
        <f>Summary!$E$24</f>
        <v>165.51114894402144</v>
      </c>
      <c r="J19" s="287">
        <f>Summary!$E$26</f>
        <v>0.29894346108198233</v>
      </c>
    </row>
    <row r="20" spans="2:10" x14ac:dyDescent="0.2">
      <c r="D20" s="23" t="s">
        <v>2131</v>
      </c>
      <c r="F20" s="325">
        <f>Summary!$G$46</f>
        <v>87.142042156305621</v>
      </c>
      <c r="G20" s="289">
        <f>Summary!$F$46</f>
        <v>1500.0010128120653</v>
      </c>
      <c r="H20" s="287">
        <f>G20/Target1p5T-1</f>
        <v>6.7520804347687147E-7</v>
      </c>
    </row>
    <row r="21" spans="2:10" x14ac:dyDescent="0.2">
      <c r="D21" s="45" t="s">
        <v>2054</v>
      </c>
      <c r="E21" s="45"/>
      <c r="F21" s="255">
        <f>Summary!$E$82</f>
        <v>6.71778075068453</v>
      </c>
      <c r="G21" s="256">
        <f>Summary!$F$82</f>
        <v>113.36773577055408</v>
      </c>
      <c r="H21" s="254">
        <f>G21/Target1p5T-1</f>
        <v>-0.92442150948629731</v>
      </c>
      <c r="I21" s="45"/>
      <c r="J21" s="45"/>
    </row>
    <row r="23" spans="2:10" ht="18" customHeight="1" x14ac:dyDescent="0.2">
      <c r="B23" s="5" t="s">
        <v>8</v>
      </c>
      <c r="C23" s="5" t="s">
        <v>8</v>
      </c>
      <c r="D23" s="25" t="s">
        <v>2055</v>
      </c>
      <c r="E23" s="26"/>
      <c r="F23" s="26"/>
      <c r="G23" s="26"/>
      <c r="H23" s="26"/>
      <c r="I23" s="26"/>
      <c r="J23" s="26"/>
    </row>
    <row r="24" spans="2:10" x14ac:dyDescent="0.2">
      <c r="D24" s="164" t="s">
        <v>2056</v>
      </c>
      <c r="E24" s="164" t="s">
        <v>2</v>
      </c>
      <c r="F24" s="164" t="s">
        <v>2057</v>
      </c>
      <c r="G24" s="164" t="s">
        <v>2058</v>
      </c>
    </row>
    <row r="25" spans="2:10" ht="27" customHeight="1" x14ac:dyDescent="0.2">
      <c r="D25" s="23" t="s">
        <v>2059</v>
      </c>
      <c r="E25" s="302">
        <f>Inputs!G14</f>
        <v>0.19209999999999999</v>
      </c>
      <c r="F25" s="339" t="str">
        <f>HYPERLINK("#Inputs!G14","Inputs G14")</f>
        <v>Inputs G14</v>
      </c>
      <c r="G25" s="363" t="s">
        <v>2060</v>
      </c>
      <c r="H25" s="363"/>
      <c r="I25" s="363"/>
      <c r="J25" s="363"/>
    </row>
    <row r="26" spans="2:10" ht="13.5" customHeight="1" x14ac:dyDescent="0.2">
      <c r="D26" s="23" t="s">
        <v>2061</v>
      </c>
      <c r="E26" s="287">
        <f>Inputs!G15</f>
        <v>0.4</v>
      </c>
      <c r="F26" s="339" t="str">
        <f>HYPERLINK("#Inputs!G15","Inputs G15")</f>
        <v>Inputs G15</v>
      </c>
      <c r="G26" s="363" t="s">
        <v>2062</v>
      </c>
      <c r="H26" s="363"/>
      <c r="I26" s="363"/>
      <c r="J26" s="363"/>
    </row>
    <row r="27" spans="2:10" ht="27" customHeight="1" x14ac:dyDescent="0.2">
      <c r="D27" s="23" t="s">
        <v>2063</v>
      </c>
      <c r="E27" s="320">
        <f>Inputs!G16</f>
        <v>2029.17</v>
      </c>
      <c r="F27" s="339" t="str">
        <f>HYPERLINK("#Inputs!G16","Inputs G16")</f>
        <v>Inputs G16</v>
      </c>
      <c r="G27" s="363" t="s">
        <v>2064</v>
      </c>
      <c r="H27" s="363"/>
      <c r="I27" s="363"/>
      <c r="J27" s="363"/>
    </row>
    <row r="28" spans="2:10" ht="13.5" customHeight="1" x14ac:dyDescent="0.2">
      <c r="D28" s="23" t="s">
        <v>2065</v>
      </c>
      <c r="E28" s="287">
        <f>Inputs!G17</f>
        <v>0.25</v>
      </c>
      <c r="F28" s="339" t="str">
        <f>HYPERLINK("#Inputs!G17","Inputs G17")</f>
        <v>Inputs G17</v>
      </c>
      <c r="G28" s="23" t="s">
        <v>2066</v>
      </c>
    </row>
    <row r="29" spans="2:10" ht="13.5" customHeight="1" x14ac:dyDescent="0.2">
      <c r="D29" s="23" t="s">
        <v>2067</v>
      </c>
      <c r="E29" s="287">
        <f>Inputs!G18</f>
        <v>0.4</v>
      </c>
      <c r="F29" s="339" t="str">
        <f>HYPERLINK("#Inputs!G18","Inputs G18")</f>
        <v>Inputs G18</v>
      </c>
      <c r="G29" s="363" t="s">
        <v>2068</v>
      </c>
      <c r="H29" s="363"/>
      <c r="I29" s="363"/>
      <c r="J29" s="363"/>
    </row>
    <row r="30" spans="2:10" ht="13.5" customHeight="1" x14ac:dyDescent="0.2">
      <c r="D30" s="23" t="s">
        <v>2069</v>
      </c>
      <c r="E30" s="287">
        <f>Inputs!G19</f>
        <v>0.6</v>
      </c>
      <c r="F30" s="339" t="str">
        <f>HYPERLINK("#Inputs!G19","Inputs G19")</f>
        <v>Inputs G19</v>
      </c>
      <c r="G30" s="363" t="s">
        <v>2070</v>
      </c>
      <c r="H30" s="363"/>
      <c r="I30" s="363"/>
      <c r="J30" s="363"/>
    </row>
    <row r="31" spans="2:10" ht="13.5" customHeight="1" x14ac:dyDescent="0.2">
      <c r="D31" s="23" t="s">
        <v>2071</v>
      </c>
      <c r="E31" s="287">
        <f>Inputs!G20</f>
        <v>0.35</v>
      </c>
      <c r="F31" s="339" t="str">
        <f>HYPERLINK("#Inputs!G20","Inputs G20")</f>
        <v>Inputs G20</v>
      </c>
      <c r="G31" s="363" t="s">
        <v>2072</v>
      </c>
      <c r="H31" s="363"/>
      <c r="I31" s="363"/>
      <c r="J31" s="363"/>
    </row>
    <row r="32" spans="2:10" ht="13.5" customHeight="1" x14ac:dyDescent="0.2">
      <c r="D32" s="23" t="s">
        <v>2073</v>
      </c>
      <c r="E32" s="287">
        <f>Inputs!G24</f>
        <v>0.2</v>
      </c>
      <c r="F32" s="339" t="str">
        <f>HYPERLINK("#Inputs!G24","Inputs G24")</f>
        <v>Inputs G24</v>
      </c>
      <c r="G32" s="363" t="s">
        <v>2074</v>
      </c>
      <c r="H32" s="363"/>
      <c r="I32" s="363"/>
      <c r="J32" s="363"/>
    </row>
    <row r="33" spans="2:10" ht="13.5" customHeight="1" x14ac:dyDescent="0.2">
      <c r="D33" s="23" t="s">
        <v>2075</v>
      </c>
      <c r="E33" s="287">
        <f>Inputs!G165</f>
        <v>0.115</v>
      </c>
      <c r="F33" s="339" t="str">
        <f>HYPERLINK("#Inputs!G165","Inputs G165")</f>
        <v>Inputs G165</v>
      </c>
      <c r="G33" s="23" t="s">
        <v>2076</v>
      </c>
    </row>
    <row r="34" spans="2:10" ht="13.5" customHeight="1" x14ac:dyDescent="0.2">
      <c r="D34" s="23" t="s">
        <v>14</v>
      </c>
      <c r="E34" s="287">
        <f>Inputs!G185</f>
        <v>3.5000000000000003E-2</v>
      </c>
      <c r="F34" s="339" t="str">
        <f>HYPERLINK("#Inputs!G185","Inputs G185")</f>
        <v>Inputs G185</v>
      </c>
      <c r="G34" s="363" t="s">
        <v>2077</v>
      </c>
      <c r="H34" s="363"/>
      <c r="I34" s="363"/>
      <c r="J34" s="363"/>
    </row>
    <row r="35" spans="2:10" ht="13.5" customHeight="1" x14ac:dyDescent="0.2">
      <c r="D35" s="23" t="s">
        <v>2078</v>
      </c>
      <c r="E35" s="340">
        <f>Inputs!K192</f>
        <v>3</v>
      </c>
      <c r="F35" s="339" t="str">
        <f>HYPERLINK("#Inputs!K192","Inputs K192")</f>
        <v>Inputs K192</v>
      </c>
      <c r="G35" s="363" t="s">
        <v>2079</v>
      </c>
      <c r="H35" s="363"/>
      <c r="I35" s="363"/>
      <c r="J35" s="363"/>
    </row>
    <row r="36" spans="2:10" ht="13.5" customHeight="1" x14ac:dyDescent="0.2">
      <c r="D36" s="23" t="s">
        <v>2080</v>
      </c>
      <c r="E36" s="287">
        <f>Inputs!K183</f>
        <v>0.23</v>
      </c>
      <c r="F36" s="339" t="str">
        <f>HYPERLINK("#Inputs!K183","Inputs K183")</f>
        <v>Inputs K183</v>
      </c>
      <c r="G36" s="363" t="s">
        <v>2081</v>
      </c>
      <c r="H36" s="363"/>
      <c r="I36" s="363"/>
      <c r="J36" s="363"/>
    </row>
    <row r="37" spans="2:10" ht="13.5" customHeight="1" x14ac:dyDescent="0.2">
      <c r="D37" s="23" t="s">
        <v>2082</v>
      </c>
      <c r="E37" s="302">
        <f>CostOfEquity</f>
        <v>9.69E-2</v>
      </c>
      <c r="F37" s="339" t="str">
        <f>HYPERLINK("#Inputs!K175","Inputs K175")</f>
        <v>Inputs K175</v>
      </c>
      <c r="G37" s="363" t="s">
        <v>2083</v>
      </c>
      <c r="H37" s="363"/>
      <c r="I37" s="363"/>
      <c r="J37" s="363"/>
    </row>
    <row r="39" spans="2:10" ht="18" customHeight="1" x14ac:dyDescent="0.2">
      <c r="B39" s="5" t="s">
        <v>8</v>
      </c>
      <c r="C39" s="5" t="s">
        <v>8</v>
      </c>
      <c r="D39" s="25" t="s">
        <v>2084</v>
      </c>
      <c r="E39" s="26"/>
      <c r="F39" s="26"/>
      <c r="G39" s="26"/>
      <c r="H39" s="26"/>
      <c r="I39" s="26"/>
      <c r="J39" s="26"/>
    </row>
    <row r="40" spans="2:10" ht="27" customHeight="1" x14ac:dyDescent="0.2">
      <c r="D40" s="363" t="s">
        <v>2085</v>
      </c>
      <c r="E40" s="363"/>
      <c r="F40" s="363"/>
      <c r="G40" s="363"/>
      <c r="H40" s="363"/>
      <c r="I40" s="363"/>
      <c r="J40" s="363"/>
    </row>
    <row r="41" spans="2:10" ht="27" customHeight="1" x14ac:dyDescent="0.2">
      <c r="D41" s="363" t="s">
        <v>2086</v>
      </c>
      <c r="E41" s="363"/>
      <c r="F41" s="363"/>
      <c r="G41" s="363"/>
      <c r="H41" s="363"/>
      <c r="I41" s="363"/>
      <c r="J41" s="363"/>
    </row>
    <row r="42" spans="2:10" ht="27" customHeight="1" x14ac:dyDescent="0.2">
      <c r="D42" s="363" t="s">
        <v>2087</v>
      </c>
      <c r="E42" s="363"/>
      <c r="F42" s="363"/>
      <c r="G42" s="363"/>
      <c r="H42" s="363"/>
      <c r="I42" s="363"/>
      <c r="J42" s="363"/>
    </row>
    <row r="43" spans="2:10" ht="27" customHeight="1" x14ac:dyDescent="0.2">
      <c r="D43" s="363" t="s">
        <v>2088</v>
      </c>
      <c r="E43" s="363"/>
      <c r="F43" s="363"/>
      <c r="G43" s="363"/>
      <c r="H43" s="363"/>
      <c r="I43" s="363"/>
      <c r="J43" s="363"/>
    </row>
    <row r="44" spans="2:10" ht="13.5" customHeight="1" x14ac:dyDescent="0.2">
      <c r="D44" s="363" t="s">
        <v>2145</v>
      </c>
      <c r="E44" s="363"/>
      <c r="F44" s="363"/>
      <c r="G44" s="363"/>
      <c r="H44" s="363"/>
      <c r="I44" s="363"/>
      <c r="J44" s="363"/>
    </row>
    <row r="46" spans="2:10" ht="18" customHeight="1" x14ac:dyDescent="0.2">
      <c r="B46" s="5" t="s">
        <v>8</v>
      </c>
      <c r="C46" s="5" t="s">
        <v>8</v>
      </c>
      <c r="D46" s="25" t="s">
        <v>2089</v>
      </c>
      <c r="E46" s="26"/>
      <c r="F46" s="26"/>
      <c r="G46" s="26"/>
      <c r="H46" s="26"/>
      <c r="I46" s="26"/>
      <c r="J46" s="26"/>
    </row>
    <row r="47" spans="2:10" ht="27" customHeight="1" x14ac:dyDescent="0.2">
      <c r="D47" s="363" t="s">
        <v>2090</v>
      </c>
      <c r="E47" s="363"/>
      <c r="F47" s="363"/>
      <c r="G47" s="363"/>
      <c r="H47" s="363"/>
      <c r="I47" s="363"/>
      <c r="J47" s="363"/>
    </row>
    <row r="48" spans="2:10" ht="27" customHeight="1" x14ac:dyDescent="0.2">
      <c r="D48" s="363" t="s">
        <v>2091</v>
      </c>
      <c r="E48" s="363"/>
      <c r="F48" s="363"/>
      <c r="G48" s="363"/>
      <c r="H48" s="363"/>
      <c r="I48" s="363"/>
      <c r="J48" s="363"/>
    </row>
    <row r="49" spans="2:10" x14ac:dyDescent="0.2">
      <c r="D49" s="339" t="str">
        <f>HYPERLINK("#Checks!E106","Go to the refresh checklist")</f>
        <v>Go to the refresh checklist</v>
      </c>
    </row>
    <row r="51" spans="2:10" ht="18" customHeight="1" x14ac:dyDescent="0.2">
      <c r="B51" s="5" t="s">
        <v>8</v>
      </c>
      <c r="C51" s="5" t="s">
        <v>8</v>
      </c>
      <c r="D51" s="25" t="s">
        <v>2092</v>
      </c>
      <c r="E51" s="26"/>
      <c r="F51" s="26"/>
      <c r="G51" s="26"/>
      <c r="H51" s="26"/>
      <c r="I51" s="26"/>
      <c r="J51" s="26"/>
    </row>
    <row r="52" spans="2:10" x14ac:dyDescent="0.2">
      <c r="D52" s="23" t="s">
        <v>2093</v>
      </c>
      <c r="E52" s="43">
        <v>1234</v>
      </c>
    </row>
    <row r="53" spans="2:10" x14ac:dyDescent="0.2">
      <c r="D53" s="23" t="s">
        <v>2094</v>
      </c>
      <c r="E53" s="31">
        <v>1234</v>
      </c>
    </row>
    <row r="54" spans="2:10" x14ac:dyDescent="0.2">
      <c r="D54" s="23" t="s">
        <v>2095</v>
      </c>
      <c r="E54" s="2">
        <v>1234</v>
      </c>
    </row>
    <row r="55" spans="2:10" ht="27" customHeight="1" x14ac:dyDescent="0.2">
      <c r="D55" s="363" t="s">
        <v>2271</v>
      </c>
      <c r="E55" s="363"/>
      <c r="F55" s="363"/>
      <c r="G55" s="363"/>
      <c r="H55" s="363"/>
      <c r="I55" s="363"/>
      <c r="J55" s="363"/>
    </row>
    <row r="57" spans="2:10" ht="18" customHeight="1" x14ac:dyDescent="0.2">
      <c r="B57" s="5" t="s">
        <v>8</v>
      </c>
      <c r="C57" s="5" t="s">
        <v>8</v>
      </c>
      <c r="D57" s="25" t="s">
        <v>2096</v>
      </c>
      <c r="E57" s="26"/>
      <c r="F57" s="26"/>
      <c r="G57" s="26"/>
      <c r="H57" s="26"/>
      <c r="I57" s="26"/>
      <c r="J57" s="26"/>
    </row>
    <row r="58" spans="2:10" x14ac:dyDescent="0.2">
      <c r="D58" s="23" t="s">
        <v>504</v>
      </c>
      <c r="E58" s="23" t="s">
        <v>2146</v>
      </c>
    </row>
    <row r="59" spans="2:10" ht="13.5" customHeight="1" x14ac:dyDescent="0.2">
      <c r="D59" s="23" t="s">
        <v>25</v>
      </c>
      <c r="E59" s="363" t="s">
        <v>2097</v>
      </c>
      <c r="F59" s="363"/>
      <c r="G59" s="363"/>
      <c r="H59" s="363"/>
      <c r="I59" s="363"/>
      <c r="J59" s="363"/>
    </row>
    <row r="60" spans="2:10" ht="13.5" customHeight="1" x14ac:dyDescent="0.2">
      <c r="D60" s="23" t="s">
        <v>2098</v>
      </c>
      <c r="E60" s="363" t="s">
        <v>2099</v>
      </c>
      <c r="F60" s="363"/>
      <c r="G60" s="363"/>
      <c r="H60" s="363"/>
      <c r="I60" s="363"/>
      <c r="J60" s="363"/>
    </row>
    <row r="61" spans="2:10" ht="13.5" customHeight="1" x14ac:dyDescent="0.2">
      <c r="D61" s="23" t="s">
        <v>2100</v>
      </c>
      <c r="E61" s="363" t="s">
        <v>2147</v>
      </c>
      <c r="F61" s="363"/>
      <c r="G61" s="363"/>
      <c r="H61" s="363"/>
      <c r="I61" s="363"/>
      <c r="J61" s="363"/>
    </row>
    <row r="62" spans="2:10" ht="27" customHeight="1" x14ac:dyDescent="0.2">
      <c r="D62" s="23" t="s">
        <v>2101</v>
      </c>
      <c r="E62" s="363" t="s">
        <v>2102</v>
      </c>
      <c r="F62" s="363"/>
      <c r="G62" s="363"/>
      <c r="H62" s="363"/>
      <c r="I62" s="363"/>
      <c r="J62" s="363"/>
    </row>
    <row r="63" spans="2:10" ht="13.5" customHeight="1" x14ac:dyDescent="0.2">
      <c r="E63" s="363"/>
      <c r="F63" s="363"/>
      <c r="G63" s="363"/>
      <c r="H63" s="363"/>
      <c r="I63" s="363"/>
      <c r="J63" s="363"/>
    </row>
  </sheetData>
  <mergeCells count="26">
    <mergeCell ref="G29:J29"/>
    <mergeCell ref="G5:J5"/>
    <mergeCell ref="G25:J25"/>
    <mergeCell ref="G26:J26"/>
    <mergeCell ref="G27:J27"/>
    <mergeCell ref="G6:J6"/>
    <mergeCell ref="D44:J44"/>
    <mergeCell ref="G30:J30"/>
    <mergeCell ref="G31:J31"/>
    <mergeCell ref="G32:J32"/>
    <mergeCell ref="G34:J34"/>
    <mergeCell ref="G35:J35"/>
    <mergeCell ref="G36:J36"/>
    <mergeCell ref="G37:J37"/>
    <mergeCell ref="D40:J40"/>
    <mergeCell ref="D41:J41"/>
    <mergeCell ref="D42:J42"/>
    <mergeCell ref="D43:J43"/>
    <mergeCell ref="E62:J62"/>
    <mergeCell ref="E63:J63"/>
    <mergeCell ref="D47:J47"/>
    <mergeCell ref="D48:J48"/>
    <mergeCell ref="D55:J55"/>
    <mergeCell ref="E59:J59"/>
    <mergeCell ref="E60:J60"/>
    <mergeCell ref="E61:J61"/>
  </mergeCells>
  <dataValidations count="1">
    <dataValidation type="whole" allowBlank="1" showInputMessage="1" showErrorMessage="1" error="Type a whole number from 1 to 6." sqref="E5">
      <formula1>1</formula1>
      <formula2>6</formula2>
    </dataValidation>
  </dataValidations>
  <pageMargins left="0.7" right="0.7" top="0.75" bottom="0.75" header="0.3" footer="0.3"/>
  <pageSetup scale="48" orientation="landscape"/>
  <headerFooter>
    <oddFooter>&amp;C&amp;A, page &amp;P of &amp;N</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0070C0"/>
    <pageSetUpPr fitToPage="1"/>
  </sheetPr>
  <dimension ref="A1:M269"/>
  <sheetViews>
    <sheetView workbookViewId="0">
      <pane xSplit="4" ySplit="8" topLeftCell="E9" activePane="bottomRight" state="frozenSplit"/>
      <selection pane="topRight" activeCell="E1" sqref="E1"/>
      <selection pane="bottomLeft" activeCell="A9" sqref="A9"/>
      <selection pane="bottomRight"/>
    </sheetView>
  </sheetViews>
  <sheetFormatPr defaultRowHeight="12.75" x14ac:dyDescent="0.2"/>
  <cols>
    <col min="1" max="3" width="2.7109375" style="10" customWidth="1"/>
    <col min="4" max="4" width="62.7109375" style="23" customWidth="1"/>
    <col min="5" max="5" width="8.7109375" style="23" customWidth="1"/>
    <col min="6" max="11" width="13.7109375" style="23" customWidth="1"/>
    <col min="12" max="12" width="34.7109375" style="23" customWidth="1"/>
    <col min="13" max="13" width="95.7109375" style="23" customWidth="1"/>
    <col min="14" max="16384" width="9.140625" style="10"/>
  </cols>
  <sheetData>
    <row r="1" spans="1:13" ht="18" x14ac:dyDescent="0.25">
      <c r="A1" s="178" t="s">
        <v>2148</v>
      </c>
    </row>
    <row r="2" spans="1:13" ht="15" x14ac:dyDescent="0.25">
      <c r="A2" s="179" t="s">
        <v>25</v>
      </c>
    </row>
    <row r="3" spans="1:13" x14ac:dyDescent="0.2">
      <c r="A3" s="10" t="s">
        <v>2149</v>
      </c>
    </row>
    <row r="5" spans="1:13" ht="25.5" x14ac:dyDescent="0.2">
      <c r="D5" s="252" t="s">
        <v>1950</v>
      </c>
      <c r="E5" s="31" t="s">
        <v>59</v>
      </c>
      <c r="K5" s="180">
        <f>IF(N(dt_Case)=17,5,IF(AND(N(dt_Case)&gt;=11,N(dt_Case)&lt;=16),2,IF(IF(ISNUMBER(dt_Scenario),dt_Scenario,'Start here'!E5)=6,2,IF(ISNUMBER(dt_Scenario),dt_Scenario,'Start here'!E5))))</f>
        <v>2</v>
      </c>
      <c r="L5" s="31" t="s">
        <v>34</v>
      </c>
      <c r="M5" s="36" t="s">
        <v>37</v>
      </c>
    </row>
    <row r="6" spans="1:13" x14ac:dyDescent="0.2">
      <c r="D6" s="45" t="s">
        <v>1951</v>
      </c>
      <c r="E6" s="31" t="s">
        <v>59</v>
      </c>
      <c r="K6" s="2">
        <f>Inputs!$K$5</f>
        <v>2</v>
      </c>
    </row>
    <row r="7" spans="1:13" ht="25.5" x14ac:dyDescent="0.2">
      <c r="D7" s="28" t="s">
        <v>38</v>
      </c>
      <c r="E7" s="28" t="s">
        <v>39</v>
      </c>
      <c r="F7" s="30" t="s">
        <v>1136</v>
      </c>
      <c r="G7" s="30" t="s">
        <v>2</v>
      </c>
      <c r="H7" s="30" t="s">
        <v>1537</v>
      </c>
      <c r="I7" s="30" t="s">
        <v>1137</v>
      </c>
      <c r="J7" s="30" t="s">
        <v>1138</v>
      </c>
      <c r="K7" s="30" t="s">
        <v>3</v>
      </c>
      <c r="L7" s="28" t="s">
        <v>40</v>
      </c>
      <c r="M7" s="28" t="s">
        <v>41</v>
      </c>
    </row>
    <row r="8" spans="1:13" x14ac:dyDescent="0.2">
      <c r="D8" s="23" t="s">
        <v>1139</v>
      </c>
      <c r="E8" s="31" t="s">
        <v>59</v>
      </c>
      <c r="F8" s="23">
        <v>1</v>
      </c>
      <c r="G8" s="23">
        <v>2</v>
      </c>
      <c r="H8" s="23">
        <v>3</v>
      </c>
      <c r="I8" s="23">
        <v>4</v>
      </c>
      <c r="J8" s="23">
        <v>5</v>
      </c>
    </row>
    <row r="10" spans="1:13" x14ac:dyDescent="0.2">
      <c r="B10" s="5" t="s">
        <v>8</v>
      </c>
      <c r="C10" s="5" t="s">
        <v>8</v>
      </c>
      <c r="D10" s="25" t="s">
        <v>1911</v>
      </c>
      <c r="E10" s="26"/>
      <c r="F10" s="26"/>
      <c r="G10" s="26"/>
      <c r="H10" s="26"/>
      <c r="I10" s="26"/>
      <c r="J10" s="26"/>
      <c r="K10" s="26"/>
      <c r="L10" s="26"/>
      <c r="M10" s="26"/>
    </row>
    <row r="11" spans="1:13" ht="63.75" x14ac:dyDescent="0.2">
      <c r="D11" s="23" t="s">
        <v>1209</v>
      </c>
      <c r="E11" s="23" t="s">
        <v>54</v>
      </c>
      <c r="F11" s="257">
        <v>0.33</v>
      </c>
      <c r="G11" s="257">
        <v>0.2</v>
      </c>
      <c r="H11" s="257">
        <v>0.15</v>
      </c>
      <c r="I11" s="257">
        <v>0.2</v>
      </c>
      <c r="J11" s="257">
        <v>0.2</v>
      </c>
      <c r="K11" s="258">
        <f>IF(Inputs!$K$37&gt;0,Inputs!$K$38,INDEX($F11:$J11,Inputs!$K$6))</f>
        <v>0.2</v>
      </c>
      <c r="L11" s="45" t="s">
        <v>2150</v>
      </c>
      <c r="M11" s="45" t="s">
        <v>2151</v>
      </c>
    </row>
    <row r="12" spans="1:13" ht="25.5" x14ac:dyDescent="0.2">
      <c r="D12" s="23" t="s">
        <v>1211</v>
      </c>
      <c r="E12" s="23" t="s">
        <v>54</v>
      </c>
      <c r="F12" s="257">
        <v>0.36</v>
      </c>
      <c r="G12" s="257">
        <v>0.3</v>
      </c>
      <c r="H12" s="257">
        <v>0.3</v>
      </c>
      <c r="I12" s="257">
        <v>0.3</v>
      </c>
      <c r="J12" s="257">
        <v>0.3</v>
      </c>
      <c r="K12" s="258">
        <f>IF(Inputs!$K$37&gt;0,Inputs!$K$39,INDEX($F12:$J12,Inputs!$K$6))</f>
        <v>0.3</v>
      </c>
      <c r="L12" s="45" t="s">
        <v>2150</v>
      </c>
    </row>
    <row r="13" spans="1:13" ht="25.5" x14ac:dyDescent="0.2">
      <c r="D13" s="23" t="s">
        <v>1212</v>
      </c>
      <c r="E13" s="23" t="s">
        <v>54</v>
      </c>
      <c r="F13" s="257">
        <v>0.22</v>
      </c>
      <c r="G13" s="257">
        <v>0.45</v>
      </c>
      <c r="H13" s="257">
        <v>0.5</v>
      </c>
      <c r="I13" s="257">
        <v>0.45</v>
      </c>
      <c r="J13" s="257">
        <v>0.45</v>
      </c>
      <c r="K13" s="258">
        <f>IF(Inputs!$K$37&gt;0,Inputs!$K$40,INDEX($F13:$J13,Inputs!$K$6))</f>
        <v>0.45</v>
      </c>
      <c r="L13" s="45" t="s">
        <v>2150</v>
      </c>
      <c r="M13" s="23" t="s">
        <v>1210</v>
      </c>
    </row>
    <row r="14" spans="1:13" ht="63.75" x14ac:dyDescent="0.2">
      <c r="D14" s="23" t="s">
        <v>1213</v>
      </c>
      <c r="E14" s="23" t="s">
        <v>54</v>
      </c>
      <c r="F14" s="259">
        <v>0.08</v>
      </c>
      <c r="G14" s="259">
        <v>0.19209999999999999</v>
      </c>
      <c r="H14" s="259">
        <v>0.24260000000000001</v>
      </c>
      <c r="I14" s="260">
        <v>8.9200000000000002E-2</v>
      </c>
      <c r="J14" s="261">
        <f>$G$14</f>
        <v>0.19209999999999999</v>
      </c>
      <c r="K14" s="261">
        <f>IF(Inputs!$K$37&gt;0,Inputs!$K$41,INDEX($F14:$J14,Inputs!$K$6))</f>
        <v>0.19209999999999999</v>
      </c>
      <c r="L14" s="45" t="s">
        <v>2152</v>
      </c>
      <c r="M14" s="45" t="s">
        <v>1467</v>
      </c>
    </row>
    <row r="15" spans="1:13" ht="63.75" x14ac:dyDescent="0.2">
      <c r="D15" s="45" t="s">
        <v>1421</v>
      </c>
      <c r="E15" s="23" t="s">
        <v>54</v>
      </c>
      <c r="F15" s="257">
        <v>0.35</v>
      </c>
      <c r="G15" s="257">
        <v>0.4</v>
      </c>
      <c r="H15" s="257">
        <v>0.45</v>
      </c>
      <c r="I15" s="262">
        <v>0.4</v>
      </c>
      <c r="J15" s="262">
        <v>0.4</v>
      </c>
      <c r="K15" s="258">
        <f>IF(Inputs!$K$37&gt;0,Inputs!$K$42,INDEX($F15:$J15,Inputs!$K$6))</f>
        <v>0.4</v>
      </c>
      <c r="L15" s="45" t="s">
        <v>2153</v>
      </c>
      <c r="M15" s="45" t="s">
        <v>2154</v>
      </c>
    </row>
    <row r="16" spans="1:13" ht="76.5" x14ac:dyDescent="0.2">
      <c r="D16" s="23" t="s">
        <v>1214</v>
      </c>
      <c r="E16" s="23" t="s">
        <v>827</v>
      </c>
      <c r="F16" s="263">
        <v>2027</v>
      </c>
      <c r="G16" s="263">
        <v>2029.17</v>
      </c>
      <c r="H16" s="264">
        <f>$G$16</f>
        <v>2029.17</v>
      </c>
      <c r="I16" s="264">
        <f>$G$16</f>
        <v>2029.17</v>
      </c>
      <c r="J16" s="264">
        <f>$G$16</f>
        <v>2029.17</v>
      </c>
      <c r="K16" s="264">
        <f>INDEX($F16:$J16,Inputs!$K$6)</f>
        <v>2029.17</v>
      </c>
      <c r="L16" s="45" t="s">
        <v>2252</v>
      </c>
      <c r="M16" s="45" t="s">
        <v>2155</v>
      </c>
    </row>
    <row r="17" spans="4:13" x14ac:dyDescent="0.2">
      <c r="D17" s="23" t="s">
        <v>1215</v>
      </c>
      <c r="E17" s="23" t="s">
        <v>54</v>
      </c>
      <c r="F17" s="257">
        <v>0.25</v>
      </c>
      <c r="G17" s="257">
        <v>0.25</v>
      </c>
      <c r="H17" s="262">
        <v>0.3</v>
      </c>
      <c r="I17" s="262">
        <v>0.18</v>
      </c>
      <c r="J17" s="262">
        <v>0.12</v>
      </c>
      <c r="K17" s="258">
        <f>IF(N(dt_Case)=17,Inputs!$K$68,IF(N(dt_Case)=21,$J$17,IF(Inputs!$K$37&gt;0,Inputs!$K$43,INDEX($F17:$J17,Inputs!$K$6))))</f>
        <v>0.25</v>
      </c>
      <c r="L17" s="23" t="s">
        <v>2153</v>
      </c>
      <c r="M17" s="23" t="s">
        <v>1216</v>
      </c>
    </row>
    <row r="18" spans="4:13" x14ac:dyDescent="0.2">
      <c r="D18" s="23" t="s">
        <v>1217</v>
      </c>
      <c r="E18" s="23" t="s">
        <v>54</v>
      </c>
      <c r="F18" s="257">
        <v>0.4</v>
      </c>
      <c r="G18" s="257">
        <v>0.4</v>
      </c>
      <c r="H18" s="257">
        <v>0.55000000000000004</v>
      </c>
      <c r="I18" s="257">
        <v>0.2</v>
      </c>
      <c r="J18" s="257">
        <v>0.4</v>
      </c>
      <c r="K18" s="258">
        <f>IF(Inputs!$K$37&gt;0,Inputs!$K$44,INDEX($F18:$J18,Inputs!$K$6))</f>
        <v>0.4</v>
      </c>
      <c r="L18" s="23" t="s">
        <v>2153</v>
      </c>
      <c r="M18" s="23" t="s">
        <v>1218</v>
      </c>
    </row>
    <row r="19" spans="4:13" x14ac:dyDescent="0.2">
      <c r="D19" s="23" t="s">
        <v>1219</v>
      </c>
      <c r="E19" s="23" t="s">
        <v>54</v>
      </c>
      <c r="F19" s="257">
        <v>0.6</v>
      </c>
      <c r="G19" s="257">
        <v>0.6</v>
      </c>
      <c r="H19" s="257">
        <v>0.7</v>
      </c>
      <c r="I19" s="257">
        <v>0.55000000000000004</v>
      </c>
      <c r="J19" s="257">
        <v>0.3</v>
      </c>
      <c r="K19" s="258">
        <f>IF(N(dt_Case)=17,Inputs!$K$66,IF(N(dt_Case)=21,$J$19,IF(Inputs!$K$37&gt;0,Inputs!$K$45,INDEX($F19:$J19,Inputs!$K$6))))</f>
        <v>0.6</v>
      </c>
      <c r="L19" s="23" t="s">
        <v>2153</v>
      </c>
      <c r="M19" s="23" t="s">
        <v>1216</v>
      </c>
    </row>
    <row r="20" spans="4:13" x14ac:dyDescent="0.2">
      <c r="D20" s="23" t="s">
        <v>1220</v>
      </c>
      <c r="E20" s="23" t="s">
        <v>54</v>
      </c>
      <c r="F20" s="257">
        <v>0.35</v>
      </c>
      <c r="G20" s="257">
        <v>0.35</v>
      </c>
      <c r="H20" s="257">
        <v>0.4</v>
      </c>
      <c r="I20" s="257">
        <v>0.25</v>
      </c>
      <c r="J20" s="257">
        <v>0.2</v>
      </c>
      <c r="K20" s="258">
        <f>IF(N(dt_Case)=17,Inputs!$K$67,IF(N(dt_Case)=21,$J$20,IF(Inputs!$K$37&gt;0,Inputs!$K$46,INDEX($F20:$J20,Inputs!$K$6))))</f>
        <v>0.35</v>
      </c>
      <c r="L20" s="23" t="s">
        <v>2153</v>
      </c>
      <c r="M20" s="23" t="s">
        <v>1216</v>
      </c>
    </row>
    <row r="21" spans="4:13" x14ac:dyDescent="0.2">
      <c r="D21" s="23" t="s">
        <v>1221</v>
      </c>
      <c r="E21" s="23" t="s">
        <v>54</v>
      </c>
      <c r="F21" s="257">
        <v>0.12</v>
      </c>
      <c r="G21" s="257">
        <v>0.12</v>
      </c>
      <c r="H21" s="257">
        <v>0.1</v>
      </c>
      <c r="I21" s="257">
        <v>0.12</v>
      </c>
      <c r="J21" s="257">
        <v>0.12</v>
      </c>
      <c r="K21" s="258">
        <f>IF(Inputs!$K$37&gt;0,Inputs!$K$47,INDEX($F21:$J21,Inputs!$K$6))</f>
        <v>0.12</v>
      </c>
      <c r="L21" s="23" t="s">
        <v>35</v>
      </c>
      <c r="M21" s="45" t="s">
        <v>2156</v>
      </c>
    </row>
    <row r="22" spans="4:13" ht="38.25" x14ac:dyDescent="0.2">
      <c r="D22" s="23" t="s">
        <v>1222</v>
      </c>
      <c r="E22" s="23" t="s">
        <v>54</v>
      </c>
      <c r="F22" s="257">
        <v>0.41</v>
      </c>
      <c r="G22" s="257">
        <v>0.37</v>
      </c>
      <c r="H22" s="257">
        <v>0.37</v>
      </c>
      <c r="I22" s="257">
        <v>0.51</v>
      </c>
      <c r="J22" s="257">
        <v>0.41</v>
      </c>
      <c r="K22" s="258">
        <f>INDEX($F22:$J22,Inputs!$K$6)</f>
        <v>0.37</v>
      </c>
      <c r="L22" s="45" t="s">
        <v>2157</v>
      </c>
      <c r="M22" s="45" t="s">
        <v>2158</v>
      </c>
    </row>
    <row r="23" spans="4:13" x14ac:dyDescent="0.2">
      <c r="D23" s="23" t="s">
        <v>1223</v>
      </c>
      <c r="E23" s="23" t="s">
        <v>54</v>
      </c>
      <c r="F23" s="257">
        <v>0.26</v>
      </c>
      <c r="G23" s="257">
        <v>0.26</v>
      </c>
      <c r="H23" s="257">
        <v>0.26</v>
      </c>
      <c r="I23" s="257">
        <v>0.31</v>
      </c>
      <c r="J23" s="257">
        <v>0.26</v>
      </c>
      <c r="K23" s="258">
        <f>INDEX($F23:$J23,Inputs!$K$6)</f>
        <v>0.26</v>
      </c>
      <c r="L23" s="23" t="s">
        <v>35</v>
      </c>
      <c r="M23" s="23" t="s">
        <v>2159</v>
      </c>
    </row>
    <row r="24" spans="4:13" ht="38.25" x14ac:dyDescent="0.2">
      <c r="D24" s="23" t="s">
        <v>1224</v>
      </c>
      <c r="E24" s="23" t="s">
        <v>54</v>
      </c>
      <c r="F24" s="257">
        <v>0.11</v>
      </c>
      <c r="G24" s="257">
        <v>0.2</v>
      </c>
      <c r="H24" s="257">
        <v>0.2</v>
      </c>
      <c r="I24" s="257">
        <v>0.08</v>
      </c>
      <c r="J24" s="257">
        <v>0.18</v>
      </c>
      <c r="K24" s="258">
        <f>IF(Inputs!$K$37&gt;0,Inputs!$K$48,INDEX($F24:$J24,Inputs!$K$6))</f>
        <v>0.2</v>
      </c>
      <c r="L24" s="45" t="s">
        <v>2160</v>
      </c>
      <c r="M24" s="45" t="s">
        <v>2161</v>
      </c>
    </row>
    <row r="25" spans="4:13" x14ac:dyDescent="0.2">
      <c r="D25" s="23" t="s">
        <v>1225</v>
      </c>
      <c r="E25" s="23" t="s">
        <v>59</v>
      </c>
      <c r="F25" s="265">
        <v>0</v>
      </c>
      <c r="G25" s="265">
        <v>1</v>
      </c>
      <c r="H25" s="265">
        <v>2</v>
      </c>
      <c r="I25" s="265">
        <v>0</v>
      </c>
      <c r="J25" s="265">
        <v>0</v>
      </c>
      <c r="K25" s="266">
        <f>IF(Inputs!$K$37&gt;0,Inputs!$K$49,INDEX($F25:$J25,Inputs!$K$6))</f>
        <v>1</v>
      </c>
      <c r="L25" s="23" t="s">
        <v>133</v>
      </c>
      <c r="M25" s="23" t="s">
        <v>1958</v>
      </c>
    </row>
    <row r="26" spans="4:13" ht="25.5" x14ac:dyDescent="0.2">
      <c r="D26" s="45" t="s">
        <v>1226</v>
      </c>
      <c r="E26" s="23" t="s">
        <v>114</v>
      </c>
      <c r="F26" s="267">
        <v>14.1907</v>
      </c>
      <c r="G26" s="267">
        <v>82.236999999999995</v>
      </c>
      <c r="H26" s="267">
        <v>181.11920000000001</v>
      </c>
      <c r="I26" s="267">
        <v>16.6981</v>
      </c>
      <c r="J26" s="267">
        <v>34.6721</v>
      </c>
      <c r="K26" s="268">
        <f>IF(N(dt_Case)=21,Inputs!$K$32,IF(Inputs!$K$37&gt;0,Inputs!$K$51,INDEX($F26:$J26,Inputs!$K$6)))</f>
        <v>82.236999999999995</v>
      </c>
      <c r="L26" s="23" t="s">
        <v>903</v>
      </c>
      <c r="M26" s="45" t="s">
        <v>2110</v>
      </c>
    </row>
    <row r="27" spans="4:13" x14ac:dyDescent="0.2">
      <c r="D27" s="23" t="s">
        <v>814</v>
      </c>
      <c r="E27" s="23" t="s">
        <v>114</v>
      </c>
      <c r="F27" s="269">
        <f>Sensitivities!F$18</f>
        <v>14.190657849216866</v>
      </c>
      <c r="G27" s="269">
        <f>Sensitivities!G$18</f>
        <v>82.237886931210411</v>
      </c>
      <c r="H27" s="269">
        <f>Sensitivities!H$18</f>
        <v>181.12115013857618</v>
      </c>
      <c r="I27" s="269">
        <f>Sensitivities!I$18</f>
        <v>16.698088546361145</v>
      </c>
      <c r="J27" s="269">
        <f>Sensitivities!J$18</f>
        <v>34.672453989977669</v>
      </c>
      <c r="K27" s="268">
        <f>INDEX($F27:$J27,Inputs!$K$6)</f>
        <v>82.237886931210411</v>
      </c>
      <c r="L27" s="23" t="s">
        <v>815</v>
      </c>
    </row>
    <row r="28" spans="4:13" ht="89.25" x14ac:dyDescent="0.2">
      <c r="D28" s="45" t="s">
        <v>2274</v>
      </c>
      <c r="E28" s="23" t="s">
        <v>54</v>
      </c>
      <c r="F28" s="270">
        <v>0</v>
      </c>
      <c r="G28" s="270">
        <v>0.45</v>
      </c>
      <c r="H28" s="270">
        <v>0</v>
      </c>
      <c r="I28" s="270">
        <v>0.15</v>
      </c>
      <c r="J28" s="270">
        <v>0.15</v>
      </c>
      <c r="K28" s="271">
        <f>INDEX($F28:$J28,Inputs!$K$6)</f>
        <v>0.45</v>
      </c>
      <c r="L28" s="45" t="s">
        <v>2275</v>
      </c>
      <c r="M28" s="45" t="s">
        <v>2162</v>
      </c>
    </row>
    <row r="29" spans="4:13" ht="25.5" x14ac:dyDescent="0.2">
      <c r="D29" s="31" t="s">
        <v>1952</v>
      </c>
      <c r="E29" s="31" t="s">
        <v>827</v>
      </c>
      <c r="K29" s="272">
        <v>2027</v>
      </c>
      <c r="L29" s="31" t="s">
        <v>36</v>
      </c>
      <c r="M29" s="36" t="s">
        <v>1875</v>
      </c>
    </row>
    <row r="30" spans="4:13" x14ac:dyDescent="0.2">
      <c r="D30" s="31" t="s">
        <v>1953</v>
      </c>
      <c r="E30" s="31" t="s">
        <v>827</v>
      </c>
      <c r="K30" s="273">
        <v>2033</v>
      </c>
      <c r="L30" s="31" t="s">
        <v>36</v>
      </c>
    </row>
    <row r="31" spans="4:13" ht="25.5" x14ac:dyDescent="0.2">
      <c r="D31" s="36" t="s">
        <v>1954</v>
      </c>
      <c r="E31" s="31" t="s">
        <v>54</v>
      </c>
      <c r="K31" s="274">
        <v>0.03</v>
      </c>
      <c r="L31" s="36" t="s">
        <v>1716</v>
      </c>
      <c r="M31" s="36" t="s">
        <v>2255</v>
      </c>
    </row>
    <row r="32" spans="4:13" ht="25.5" x14ac:dyDescent="0.2">
      <c r="D32" s="31" t="s">
        <v>1838</v>
      </c>
      <c r="E32" s="31" t="s">
        <v>114</v>
      </c>
      <c r="K32" s="275">
        <v>6.7178000000000004</v>
      </c>
      <c r="L32" s="36" t="s">
        <v>1839</v>
      </c>
      <c r="M32" s="36" t="s">
        <v>1961</v>
      </c>
    </row>
    <row r="33" spans="2:13" x14ac:dyDescent="0.2">
      <c r="D33" s="31" t="s">
        <v>1840</v>
      </c>
      <c r="E33" s="31" t="s">
        <v>114</v>
      </c>
      <c r="K33" s="276">
        <f>Sensitivities!$F$473</f>
        <v>6.71778075068453</v>
      </c>
      <c r="L33" s="31" t="s">
        <v>1841</v>
      </c>
    </row>
    <row r="35" spans="2:13" x14ac:dyDescent="0.2">
      <c r="B35" s="5" t="s">
        <v>8</v>
      </c>
      <c r="C35" s="5" t="s">
        <v>8</v>
      </c>
      <c r="D35" s="25" t="s">
        <v>1912</v>
      </c>
      <c r="E35" s="26"/>
      <c r="F35" s="26"/>
      <c r="G35" s="26"/>
      <c r="H35" s="26"/>
      <c r="I35" s="26"/>
      <c r="J35" s="26"/>
      <c r="K35" s="26"/>
      <c r="L35" s="26"/>
      <c r="M35" s="26"/>
    </row>
    <row r="36" spans="2:13" ht="63.75" x14ac:dyDescent="0.2">
      <c r="D36" s="164" t="s">
        <v>1488</v>
      </c>
      <c r="E36" s="164"/>
      <c r="F36" s="252" t="s">
        <v>1538</v>
      </c>
      <c r="G36" s="252" t="s">
        <v>1489</v>
      </c>
      <c r="H36" s="252" t="s">
        <v>1797</v>
      </c>
      <c r="I36" s="252" t="s">
        <v>1490</v>
      </c>
      <c r="J36" s="252" t="s">
        <v>2134</v>
      </c>
      <c r="K36" s="164" t="s">
        <v>1492</v>
      </c>
      <c r="L36" s="252" t="s">
        <v>1828</v>
      </c>
    </row>
    <row r="37" spans="2:13" x14ac:dyDescent="0.2">
      <c r="D37" s="31" t="s">
        <v>1493</v>
      </c>
      <c r="E37" s="31" t="s">
        <v>59</v>
      </c>
      <c r="F37" s="266">
        <v>12</v>
      </c>
      <c r="G37" s="266">
        <v>13</v>
      </c>
      <c r="H37" s="266">
        <v>14</v>
      </c>
      <c r="I37" s="266">
        <v>15</v>
      </c>
      <c r="J37" s="266">
        <v>16</v>
      </c>
      <c r="K37" s="266">
        <f>IF(AND(N(dt_Case)&gt;=12,N(dt_Case)&lt;=16),N(dt_Case)-11,IF(AND(OR(N(dt_Case)&lt;11,N(dt_Case)&gt;17),IF(ISNUMBER(dt_Scenario),dt_Scenario,'Start here'!$E$5)=6),6,0))</f>
        <v>0</v>
      </c>
      <c r="L37" s="266">
        <v>6</v>
      </c>
    </row>
    <row r="38" spans="2:13" x14ac:dyDescent="0.2">
      <c r="D38" s="31" t="str">
        <f>Inputs!$D$11</f>
        <v>A. R1 share of US slots, 2036</v>
      </c>
      <c r="E38" s="31" t="s">
        <v>54</v>
      </c>
      <c r="F38" s="258">
        <f>Inputs!$G$11</f>
        <v>0.2</v>
      </c>
      <c r="G38" s="258">
        <f>Inputs!$G$11</f>
        <v>0.2</v>
      </c>
      <c r="H38" s="258">
        <f>Inputs!$H$11</f>
        <v>0.15</v>
      </c>
      <c r="I38" s="258">
        <f>Inputs!$H$11</f>
        <v>0.15</v>
      </c>
      <c r="J38" s="258">
        <f>Inputs!$H$11</f>
        <v>0.15</v>
      </c>
      <c r="K38" s="258">
        <f t="shared" ref="K38:K51" si="0">IF($K$37=6,$L38,IF($K$37&gt;0,INDEX($F38:$J38,$K$37),0))</f>
        <v>0</v>
      </c>
      <c r="L38" s="258">
        <f>Inputs!$H$11</f>
        <v>0.15</v>
      </c>
    </row>
    <row r="39" spans="2:13" x14ac:dyDescent="0.2">
      <c r="D39" s="31" t="str">
        <f>Inputs!$D$12</f>
        <v>A. R2 share of US slots, 2036</v>
      </c>
      <c r="E39" s="31" t="s">
        <v>54</v>
      </c>
      <c r="F39" s="258">
        <f>Inputs!$G$12</f>
        <v>0.3</v>
      </c>
      <c r="G39" s="258">
        <f>Inputs!$G$12</f>
        <v>0.3</v>
      </c>
      <c r="H39" s="258">
        <f>Inputs!$H$12</f>
        <v>0.3</v>
      </c>
      <c r="I39" s="258">
        <f>Inputs!$H$12</f>
        <v>0.3</v>
      </c>
      <c r="J39" s="258">
        <f>Inputs!$H$12</f>
        <v>0.3</v>
      </c>
      <c r="K39" s="258">
        <f t="shared" si="0"/>
        <v>0</v>
      </c>
      <c r="L39" s="258">
        <f>Inputs!$H$12</f>
        <v>0.3</v>
      </c>
    </row>
    <row r="40" spans="2:13" x14ac:dyDescent="0.2">
      <c r="D40" s="31" t="str">
        <f>Inputs!$D$13</f>
        <v>A. R3 share of US slots, 2036</v>
      </c>
      <c r="E40" s="31" t="s">
        <v>54</v>
      </c>
      <c r="F40" s="258">
        <f>Inputs!$G$13</f>
        <v>0.45</v>
      </c>
      <c r="G40" s="258">
        <f>Inputs!$G$13</f>
        <v>0.45</v>
      </c>
      <c r="H40" s="258">
        <f>Inputs!$H$13</f>
        <v>0.5</v>
      </c>
      <c r="I40" s="258">
        <f>Inputs!$H$13</f>
        <v>0.5</v>
      </c>
      <c r="J40" s="258">
        <f>Inputs!$H$13</f>
        <v>0.5</v>
      </c>
      <c r="K40" s="258">
        <f t="shared" si="0"/>
        <v>0</v>
      </c>
      <c r="L40" s="258">
        <f>Inputs!$H$13</f>
        <v>0.5</v>
      </c>
    </row>
    <row r="41" spans="2:13" x14ac:dyDescent="0.2">
      <c r="D41" s="31" t="str">
        <f>Inputs!$D$14</f>
        <v>A. R3 price, 2036 (% of the slot's wage)</v>
      </c>
      <c r="E41" s="31" t="s">
        <v>54</v>
      </c>
      <c r="F41" s="261">
        <f>Inputs!$G$14</f>
        <v>0.19209999999999999</v>
      </c>
      <c r="G41" s="261">
        <f>Inputs!$G$14</f>
        <v>0.19209999999999999</v>
      </c>
      <c r="H41" s="261">
        <f>Inputs!$H$14</f>
        <v>0.24260000000000001</v>
      </c>
      <c r="I41" s="261">
        <f>Inputs!$H$14</f>
        <v>0.24260000000000001</v>
      </c>
      <c r="J41" s="261">
        <f>Inputs!$H$14</f>
        <v>0.24260000000000001</v>
      </c>
      <c r="K41" s="261">
        <f t="shared" si="0"/>
        <v>0</v>
      </c>
      <c r="L41" s="261">
        <f>Inputs!$H$14</f>
        <v>0.24260000000000001</v>
      </c>
    </row>
    <row r="42" spans="2:13" ht="25.5" x14ac:dyDescent="0.2">
      <c r="D42" s="36" t="str">
        <f>Inputs!$D$15</f>
        <v>B. Rest of core / core revenue, 2036 (= international / total on the filing's measure: see Revenue Engine)</v>
      </c>
      <c r="E42" s="31" t="s">
        <v>54</v>
      </c>
      <c r="F42" s="258">
        <f>Inputs!$G$15</f>
        <v>0.4</v>
      </c>
      <c r="G42" s="258">
        <f>Inputs!$G$15</f>
        <v>0.4</v>
      </c>
      <c r="H42" s="258">
        <f>Inputs!$H$15</f>
        <v>0.45</v>
      </c>
      <c r="I42" s="258">
        <f>Inputs!$H$15</f>
        <v>0.45</v>
      </c>
      <c r="J42" s="258">
        <f>Inputs!$H$15</f>
        <v>0.45</v>
      </c>
      <c r="K42" s="258">
        <f t="shared" si="0"/>
        <v>0</v>
      </c>
      <c r="L42" s="258">
        <f>Inputs!$H$15</f>
        <v>0.45</v>
      </c>
    </row>
    <row r="43" spans="2:13" ht="51" x14ac:dyDescent="0.2">
      <c r="D43" s="31" t="str">
        <f>Inputs!$D$17</f>
        <v>C. Anthropic share of subscription spend, 2036</v>
      </c>
      <c r="E43" s="31" t="s">
        <v>54</v>
      </c>
      <c r="F43" s="258">
        <f>Inputs!$G$17</f>
        <v>0.25</v>
      </c>
      <c r="G43" s="258">
        <f>Inputs!$H$17</f>
        <v>0.3</v>
      </c>
      <c r="H43" s="258">
        <f>Inputs!$H$17</f>
        <v>0.3</v>
      </c>
      <c r="I43" s="258">
        <f>Inputs!$G$17</f>
        <v>0.25</v>
      </c>
      <c r="J43" s="258">
        <f>Inputs!$H$17</f>
        <v>0.3</v>
      </c>
      <c r="K43" s="258">
        <f t="shared" si="0"/>
        <v>0</v>
      </c>
      <c r="L43" s="258">
        <f>Inputs!$G$17</f>
        <v>0.25</v>
      </c>
      <c r="M43" s="36" t="s">
        <v>2163</v>
      </c>
    </row>
    <row r="44" spans="2:13" x14ac:dyDescent="0.2">
      <c r="D44" s="31" t="str">
        <f>Inputs!$D$18</f>
        <v>D. Tier-1 share of consumption spend, 2036</v>
      </c>
      <c r="E44" s="31" t="s">
        <v>54</v>
      </c>
      <c r="F44" s="258">
        <f>Inputs!$H$18</f>
        <v>0.55000000000000004</v>
      </c>
      <c r="G44" s="258">
        <f>Inputs!$H$18</f>
        <v>0.55000000000000004</v>
      </c>
      <c r="H44" s="258">
        <f>Inputs!$H$18</f>
        <v>0.55000000000000004</v>
      </c>
      <c r="I44" s="258">
        <f>Inputs!$G$18</f>
        <v>0.4</v>
      </c>
      <c r="J44" s="258">
        <f>Inputs!$G$18</f>
        <v>0.4</v>
      </c>
      <c r="K44" s="258">
        <f t="shared" si="0"/>
        <v>0</v>
      </c>
      <c r="L44" s="258">
        <f>Inputs!$G$18</f>
        <v>0.4</v>
      </c>
    </row>
    <row r="45" spans="2:13" x14ac:dyDescent="0.2">
      <c r="D45" s="31" t="str">
        <f>Inputs!$D$19</f>
        <v>E. Anthropic share of tier-1 spend, 2036</v>
      </c>
      <c r="E45" s="31" t="s">
        <v>54</v>
      </c>
      <c r="F45" s="258">
        <f>Inputs!$G$19</f>
        <v>0.6</v>
      </c>
      <c r="G45" s="258">
        <f>Inputs!$H$19</f>
        <v>0.7</v>
      </c>
      <c r="H45" s="258">
        <f>Inputs!$H$19</f>
        <v>0.7</v>
      </c>
      <c r="I45" s="258">
        <f>Inputs!$G$19</f>
        <v>0.6</v>
      </c>
      <c r="J45" s="258">
        <f>Inputs!$H$19</f>
        <v>0.7</v>
      </c>
      <c r="K45" s="258">
        <f t="shared" si="0"/>
        <v>0</v>
      </c>
      <c r="L45" s="258">
        <f>Inputs!$G$19</f>
        <v>0.6</v>
      </c>
    </row>
    <row r="46" spans="2:13" x14ac:dyDescent="0.2">
      <c r="D46" s="31" t="str">
        <f>Inputs!$D$20</f>
        <v>F. Anthropic share of tier-2/3 spend, 2036</v>
      </c>
      <c r="E46" s="31" t="s">
        <v>54</v>
      </c>
      <c r="F46" s="258">
        <f>Inputs!$G$20</f>
        <v>0.35</v>
      </c>
      <c r="G46" s="258">
        <f>Inputs!$H$20</f>
        <v>0.4</v>
      </c>
      <c r="H46" s="258">
        <f>Inputs!$H$20</f>
        <v>0.4</v>
      </c>
      <c r="I46" s="258">
        <f>Inputs!$G$20</f>
        <v>0.35</v>
      </c>
      <c r="J46" s="258">
        <f>Inputs!$H$20</f>
        <v>0.4</v>
      </c>
      <c r="K46" s="258">
        <f t="shared" si="0"/>
        <v>0</v>
      </c>
      <c r="L46" s="258">
        <f>Inputs!$G$20</f>
        <v>0.35</v>
      </c>
    </row>
    <row r="47" spans="2:13" x14ac:dyDescent="0.2">
      <c r="D47" s="31" t="str">
        <f>Inputs!$D$21</f>
        <v>Serving intensity, tier-1 consumption, 2036 (% of stream revenue)</v>
      </c>
      <c r="E47" s="31" t="s">
        <v>54</v>
      </c>
      <c r="F47" s="258">
        <f>Inputs!$H$21</f>
        <v>0.1</v>
      </c>
      <c r="G47" s="258">
        <f>Inputs!$H$21</f>
        <v>0.1</v>
      </c>
      <c r="H47" s="258">
        <f>Inputs!$H$21</f>
        <v>0.1</v>
      </c>
      <c r="I47" s="258">
        <f>Inputs!$G$21</f>
        <v>0.12</v>
      </c>
      <c r="J47" s="258">
        <f>Inputs!$G$21</f>
        <v>0.12</v>
      </c>
      <c r="K47" s="258">
        <f t="shared" si="0"/>
        <v>0</v>
      </c>
      <c r="L47" s="258">
        <f>Inputs!$G$21</f>
        <v>0.12</v>
      </c>
    </row>
    <row r="48" spans="2:13" x14ac:dyDescent="0.2">
      <c r="D48" s="31" t="str">
        <f>Inputs!$D$24</f>
        <v>G. Long-run training share of revenue (reached 2036)</v>
      </c>
      <c r="E48" s="31" t="s">
        <v>54</v>
      </c>
      <c r="F48" s="258">
        <f>Inputs!$G$24</f>
        <v>0.2</v>
      </c>
      <c r="G48" s="258">
        <f>Inputs!$H$24</f>
        <v>0.2</v>
      </c>
      <c r="H48" s="258">
        <f>Inputs!$H$24</f>
        <v>0.2</v>
      </c>
      <c r="I48" s="258">
        <f>Inputs!$G$24</f>
        <v>0.2</v>
      </c>
      <c r="J48" s="258">
        <f>Inputs!$H$24</f>
        <v>0.2</v>
      </c>
      <c r="K48" s="258">
        <f t="shared" si="0"/>
        <v>0</v>
      </c>
      <c r="L48" s="258">
        <f>Inputs!$G$24</f>
        <v>0.2</v>
      </c>
      <c r="M48" s="36" t="s">
        <v>2132</v>
      </c>
    </row>
    <row r="49" spans="2:13" ht="25.5" x14ac:dyDescent="0.2">
      <c r="D49" s="31" t="str">
        <f>Inputs!$D$25</f>
        <v>Public Benefit top-ups to 2036 (count)</v>
      </c>
      <c r="E49" s="31" t="s">
        <v>59</v>
      </c>
      <c r="F49" s="266">
        <f>Inputs!$G$25</f>
        <v>1</v>
      </c>
      <c r="G49" s="266">
        <f>Inputs!$G$25</f>
        <v>1</v>
      </c>
      <c r="H49" s="266">
        <f>Inputs!$H$25</f>
        <v>2</v>
      </c>
      <c r="I49" s="266">
        <f>Inputs!$H$25</f>
        <v>2</v>
      </c>
      <c r="J49" s="266">
        <f>Inputs!$H$25</f>
        <v>2</v>
      </c>
      <c r="K49" s="266">
        <f t="shared" si="0"/>
        <v>0</v>
      </c>
      <c r="L49" s="266">
        <f>Inputs!$H$25</f>
        <v>2</v>
      </c>
      <c r="M49" s="36" t="s">
        <v>2254</v>
      </c>
    </row>
    <row r="50" spans="2:13" x14ac:dyDescent="0.2">
      <c r="D50" s="31" t="str">
        <f>Inputs!$D$165</f>
        <v>Fee load on consumption revenue, 2036</v>
      </c>
      <c r="E50" s="31" t="s">
        <v>54</v>
      </c>
      <c r="F50" s="258">
        <f>Inputs!$G$165</f>
        <v>0.115</v>
      </c>
      <c r="G50" s="258">
        <f>Inputs!$H$165</f>
        <v>0.11</v>
      </c>
      <c r="H50" s="258">
        <f>Inputs!$H$165</f>
        <v>0.11</v>
      </c>
      <c r="I50" s="258">
        <f>Inputs!$G$165</f>
        <v>0.115</v>
      </c>
      <c r="J50" s="258">
        <f>Inputs!$H$165</f>
        <v>0.11</v>
      </c>
      <c r="K50" s="258">
        <f t="shared" si="0"/>
        <v>0</v>
      </c>
      <c r="L50" s="258">
        <f>Inputs!$G$165</f>
        <v>0.115</v>
      </c>
      <c r="M50" s="31" t="s">
        <v>2133</v>
      </c>
    </row>
    <row r="51" spans="2:13" ht="25.5" x14ac:dyDescent="0.2">
      <c r="D51" s="36" t="s">
        <v>1494</v>
      </c>
      <c r="E51" s="31" t="s">
        <v>59</v>
      </c>
      <c r="F51" s="277">
        <v>103.21980000000001</v>
      </c>
      <c r="G51" s="277">
        <v>121.7213</v>
      </c>
      <c r="H51" s="278">
        <f>Inputs!$H$26</f>
        <v>181.11920000000001</v>
      </c>
      <c r="I51" s="277">
        <v>122.08499999999999</v>
      </c>
      <c r="J51" s="277">
        <v>143.7876</v>
      </c>
      <c r="K51" s="278">
        <f t="shared" si="0"/>
        <v>0</v>
      </c>
      <c r="L51" s="275">
        <v>122.0863960753755</v>
      </c>
    </row>
    <row r="52" spans="2:13" x14ac:dyDescent="0.2">
      <c r="D52" s="31" t="s">
        <v>1495</v>
      </c>
      <c r="E52" s="31" t="s">
        <v>59</v>
      </c>
      <c r="F52" s="276">
        <f>Sensitivities!$G$234</f>
        <v>103.22085904605684</v>
      </c>
      <c r="G52" s="276">
        <f>Sensitivities!$H$234</f>
        <v>121.72252979487672</v>
      </c>
      <c r="H52" s="276">
        <f>Sensitivities!$I$234</f>
        <v>181.12115013857618</v>
      </c>
      <c r="I52" s="276">
        <f>Sensitivities!$J$234</f>
        <v>122.08635684955809</v>
      </c>
      <c r="J52" s="276">
        <f>Sensitivities!$K$234</f>
        <v>143.7891638591081</v>
      </c>
      <c r="L52" s="276">
        <f>Sensitivities!$K$18</f>
        <v>122.08638966243501</v>
      </c>
    </row>
    <row r="53" spans="2:13" x14ac:dyDescent="0.2">
      <c r="D53" s="36" t="s">
        <v>2276</v>
      </c>
      <c r="E53" s="23" t="s">
        <v>54</v>
      </c>
      <c r="L53" s="279">
        <v>0.2</v>
      </c>
    </row>
    <row r="54" spans="2:13" ht="25.5" x14ac:dyDescent="0.2">
      <c r="D54" s="36" t="s">
        <v>2277</v>
      </c>
      <c r="E54" s="31" t="s">
        <v>54</v>
      </c>
      <c r="L54" s="280">
        <v>0.05</v>
      </c>
    </row>
    <row r="56" spans="2:13" x14ac:dyDescent="0.2">
      <c r="B56" s="5" t="s">
        <v>8</v>
      </c>
      <c r="C56" s="5" t="s">
        <v>8</v>
      </c>
      <c r="D56" s="25" t="s">
        <v>1913</v>
      </c>
      <c r="E56" s="26"/>
      <c r="F56" s="26"/>
      <c r="G56" s="26"/>
      <c r="H56" s="26"/>
      <c r="I56" s="26"/>
      <c r="J56" s="26"/>
      <c r="K56" s="26"/>
      <c r="L56" s="26"/>
      <c r="M56" s="26"/>
    </row>
    <row r="57" spans="2:13" ht="25.5" x14ac:dyDescent="0.2">
      <c r="D57" s="31" t="s">
        <v>1502</v>
      </c>
      <c r="E57" s="31" t="s">
        <v>827</v>
      </c>
      <c r="F57" s="265">
        <v>2033</v>
      </c>
      <c r="G57" s="265">
        <v>0</v>
      </c>
      <c r="H57" s="265">
        <v>0</v>
      </c>
      <c r="I57" s="265">
        <v>2032</v>
      </c>
      <c r="J57" s="265">
        <v>0</v>
      </c>
      <c r="K57" s="266">
        <f>INDEX($F57:$J57,Inputs!$K$6)</f>
        <v>0</v>
      </c>
      <c r="L57" s="31" t="s">
        <v>2164</v>
      </c>
      <c r="M57" s="36" t="s">
        <v>1962</v>
      </c>
    </row>
    <row r="58" spans="2:13" x14ac:dyDescent="0.2">
      <c r="D58" s="31" t="s">
        <v>1503</v>
      </c>
      <c r="E58" s="31" t="s">
        <v>54</v>
      </c>
      <c r="F58" s="257">
        <v>0.15</v>
      </c>
      <c r="G58" s="258">
        <f>Inputs!$G$24</f>
        <v>0.2</v>
      </c>
      <c r="H58" s="258">
        <f>Inputs!$H$24</f>
        <v>0.2</v>
      </c>
      <c r="I58" s="257">
        <v>0.15</v>
      </c>
      <c r="J58" s="258">
        <f>Inputs!$J$24</f>
        <v>0.18</v>
      </c>
      <c r="K58" s="258">
        <f>INDEX($F58:$J58,Inputs!$K$6)</f>
        <v>0.2</v>
      </c>
      <c r="L58" s="31" t="s">
        <v>2165</v>
      </c>
      <c r="M58" s="36" t="s">
        <v>1504</v>
      </c>
    </row>
    <row r="59" spans="2:13" x14ac:dyDescent="0.2">
      <c r="D59" s="31" t="s">
        <v>1505</v>
      </c>
      <c r="E59" s="31" t="s">
        <v>54</v>
      </c>
      <c r="F59" s="281">
        <v>0.25</v>
      </c>
      <c r="G59" s="281">
        <v>0</v>
      </c>
      <c r="H59" s="281">
        <v>0</v>
      </c>
      <c r="I59" s="281">
        <v>0</v>
      </c>
      <c r="J59" s="281">
        <v>0</v>
      </c>
      <c r="K59" s="258">
        <f>INDEX($F59:$J59,Inputs!$K$6)</f>
        <v>0</v>
      </c>
      <c r="L59" s="31" t="s">
        <v>35</v>
      </c>
      <c r="M59" s="31" t="s">
        <v>1506</v>
      </c>
    </row>
    <row r="60" spans="2:13" x14ac:dyDescent="0.2">
      <c r="D60" s="31" t="s">
        <v>1507</v>
      </c>
      <c r="E60" s="31" t="s">
        <v>59</v>
      </c>
      <c r="K60" s="272">
        <v>2</v>
      </c>
      <c r="L60" s="31" t="s">
        <v>2153</v>
      </c>
    </row>
    <row r="61" spans="2:13" ht="38.25" x14ac:dyDescent="0.2">
      <c r="D61" s="31" t="s">
        <v>1508</v>
      </c>
      <c r="E61" s="31" t="s">
        <v>54</v>
      </c>
      <c r="K61" s="279">
        <v>0.5</v>
      </c>
      <c r="L61" s="31" t="s">
        <v>2153</v>
      </c>
      <c r="M61" s="36" t="s">
        <v>1509</v>
      </c>
    </row>
    <row r="62" spans="2:13" ht="38.25" x14ac:dyDescent="0.2">
      <c r="D62" s="36" t="s">
        <v>1955</v>
      </c>
      <c r="E62" s="31" t="s">
        <v>54</v>
      </c>
      <c r="F62" s="281">
        <v>0.05</v>
      </c>
      <c r="G62" s="281">
        <v>0</v>
      </c>
      <c r="H62" s="281">
        <v>0</v>
      </c>
      <c r="I62" s="281">
        <v>0</v>
      </c>
      <c r="J62" s="281">
        <v>0</v>
      </c>
      <c r="K62" s="258">
        <f>INDEX($F62:$J62,Inputs!$K$6)</f>
        <v>0</v>
      </c>
      <c r="L62" s="31" t="s">
        <v>2246</v>
      </c>
      <c r="M62" s="36" t="s">
        <v>2245</v>
      </c>
    </row>
    <row r="63" spans="2:13" x14ac:dyDescent="0.2">
      <c r="D63" s="31" t="s">
        <v>1510</v>
      </c>
      <c r="E63" s="31" t="s">
        <v>54</v>
      </c>
      <c r="K63" s="279">
        <v>0</v>
      </c>
      <c r="L63" s="31" t="s">
        <v>35</v>
      </c>
      <c r="M63" s="31" t="s">
        <v>1511</v>
      </c>
    </row>
    <row r="64" spans="2:13" x14ac:dyDescent="0.2">
      <c r="D64" s="31" t="s">
        <v>1512</v>
      </c>
      <c r="E64" s="31" t="s">
        <v>54</v>
      </c>
      <c r="K64" s="279">
        <v>0.25</v>
      </c>
      <c r="L64" s="31" t="s">
        <v>2166</v>
      </c>
    </row>
    <row r="65" spans="2:13" x14ac:dyDescent="0.2">
      <c r="D65" s="31" t="s">
        <v>1513</v>
      </c>
      <c r="E65" s="31" t="s">
        <v>54</v>
      </c>
      <c r="K65" s="271">
        <f>IF(N(dt_Case)=18,$K$64,$K$63)</f>
        <v>0</v>
      </c>
      <c r="L65" s="31" t="s">
        <v>34</v>
      </c>
    </row>
    <row r="66" spans="2:13" x14ac:dyDescent="0.2">
      <c r="D66" s="36" t="s">
        <v>1514</v>
      </c>
      <c r="E66" s="31" t="s">
        <v>54</v>
      </c>
      <c r="K66" s="282">
        <v>0.45</v>
      </c>
      <c r="L66" s="36" t="s">
        <v>2166</v>
      </c>
      <c r="M66" s="31" t="s">
        <v>1515</v>
      </c>
    </row>
    <row r="67" spans="2:13" x14ac:dyDescent="0.2">
      <c r="D67" s="31" t="s">
        <v>1516</v>
      </c>
      <c r="E67" s="31" t="s">
        <v>54</v>
      </c>
      <c r="K67" s="282">
        <v>0.27500000000000002</v>
      </c>
      <c r="L67" s="31" t="s">
        <v>2166</v>
      </c>
      <c r="M67" s="31" t="s">
        <v>1517</v>
      </c>
    </row>
    <row r="68" spans="2:13" x14ac:dyDescent="0.2">
      <c r="D68" s="31" t="s">
        <v>1518</v>
      </c>
      <c r="E68" s="31" t="s">
        <v>54</v>
      </c>
      <c r="K68" s="282">
        <v>0.18</v>
      </c>
      <c r="L68" s="31" t="s">
        <v>2166</v>
      </c>
      <c r="M68" s="31" t="s">
        <v>1519</v>
      </c>
    </row>
    <row r="69" spans="2:13" x14ac:dyDescent="0.2">
      <c r="D69" s="31" t="s">
        <v>1813</v>
      </c>
      <c r="E69" s="31" t="s">
        <v>827</v>
      </c>
      <c r="K69" s="272">
        <v>2033</v>
      </c>
      <c r="L69" s="31" t="s">
        <v>2153</v>
      </c>
      <c r="M69" s="31" t="s">
        <v>1814</v>
      </c>
    </row>
    <row r="70" spans="2:13" x14ac:dyDescent="0.2">
      <c r="D70" s="31" t="s">
        <v>1815</v>
      </c>
      <c r="E70" s="31" t="s">
        <v>59</v>
      </c>
      <c r="K70" s="273">
        <v>4</v>
      </c>
      <c r="L70" s="31" t="s">
        <v>35</v>
      </c>
      <c r="M70" s="36" t="s">
        <v>1816</v>
      </c>
    </row>
    <row r="71" spans="2:13" ht="38.25" x14ac:dyDescent="0.2">
      <c r="D71" s="31" t="s">
        <v>1818</v>
      </c>
      <c r="E71" s="31" t="s">
        <v>54</v>
      </c>
      <c r="F71" s="257">
        <v>0</v>
      </c>
      <c r="G71" s="257">
        <v>1.4999999999999999E-2</v>
      </c>
      <c r="H71" s="257">
        <v>1.4999999999999999E-2</v>
      </c>
      <c r="I71" s="257">
        <v>0</v>
      </c>
      <c r="J71" s="257">
        <v>0</v>
      </c>
      <c r="K71" s="258">
        <f>INDEX($F71:$J71,Inputs!$K$6)</f>
        <v>1.4999999999999999E-2</v>
      </c>
      <c r="L71" s="36" t="s">
        <v>2167</v>
      </c>
      <c r="M71" s="36" t="s">
        <v>1819</v>
      </c>
    </row>
    <row r="72" spans="2:13" ht="25.5" x14ac:dyDescent="0.2">
      <c r="D72" s="36" t="s">
        <v>1820</v>
      </c>
      <c r="E72" s="31" t="s">
        <v>54</v>
      </c>
      <c r="F72" s="258">
        <f>Inputs!$K$141-F71+Inputs!$K$143+Inputs!$K$147+Inputs!F62+Inputs!$K$152</f>
        <v>0.245</v>
      </c>
      <c r="G72" s="258">
        <f>Inputs!$K$141-G71+Inputs!$K$143+Inputs!$K$147+Inputs!G62+Inputs!$K$152</f>
        <v>0.18</v>
      </c>
      <c r="H72" s="258">
        <f>Inputs!$K$141-H71+Inputs!$K$143+Inputs!$K$147+Inputs!H62+Inputs!$K$152</f>
        <v>0.18</v>
      </c>
      <c r="I72" s="258">
        <f>Inputs!$K$141-I71+Inputs!$K$143+Inputs!$K$147+Inputs!I62+Inputs!$K$152</f>
        <v>0.19500000000000001</v>
      </c>
      <c r="J72" s="258">
        <f>Inputs!$K$141-J71+Inputs!$K$143+Inputs!$K$147+Inputs!J62+Inputs!$K$152</f>
        <v>0.19500000000000001</v>
      </c>
      <c r="K72" s="258">
        <f>Inputs!$K$141-K71+Inputs!$K$143+Inputs!$K$147+Inputs!K62+Inputs!$K$152</f>
        <v>0.18</v>
      </c>
      <c r="L72" s="31" t="s">
        <v>34</v>
      </c>
      <c r="M72" s="31"/>
    </row>
    <row r="74" spans="2:13" x14ac:dyDescent="0.2">
      <c r="B74" s="5" t="s">
        <v>8</v>
      </c>
      <c r="C74" s="5" t="s">
        <v>8</v>
      </c>
      <c r="D74" s="25" t="s">
        <v>1914</v>
      </c>
      <c r="E74" s="26"/>
      <c r="F74" s="26"/>
      <c r="G74" s="26"/>
      <c r="H74" s="26"/>
      <c r="I74" s="26"/>
      <c r="J74" s="26"/>
      <c r="K74" s="26"/>
      <c r="L74" s="26"/>
      <c r="M74" s="26"/>
    </row>
    <row r="75" spans="2:13" x14ac:dyDescent="0.2">
      <c r="D75" s="23" t="s">
        <v>1140</v>
      </c>
      <c r="E75" s="23" t="s">
        <v>1141</v>
      </c>
      <c r="K75" s="283">
        <v>73.72</v>
      </c>
      <c r="L75" s="23" t="s">
        <v>1142</v>
      </c>
      <c r="M75" s="23" t="s">
        <v>1143</v>
      </c>
    </row>
    <row r="76" spans="2:13" x14ac:dyDescent="0.2">
      <c r="D76" s="23" t="s">
        <v>1144</v>
      </c>
      <c r="E76" s="23" t="s">
        <v>1141</v>
      </c>
      <c r="K76" s="284">
        <v>264.7</v>
      </c>
      <c r="L76" s="23" t="s">
        <v>1145</v>
      </c>
      <c r="M76" s="23" t="s">
        <v>1146</v>
      </c>
    </row>
    <row r="77" spans="2:13" x14ac:dyDescent="0.2">
      <c r="D77" s="23" t="s">
        <v>1147</v>
      </c>
      <c r="E77" s="23" t="s">
        <v>1141</v>
      </c>
      <c r="K77" s="268">
        <f>K76-K75</f>
        <v>190.98</v>
      </c>
      <c r="L77" s="23" t="s">
        <v>34</v>
      </c>
    </row>
    <row r="78" spans="2:13" x14ac:dyDescent="0.2">
      <c r="D78" s="23" t="s">
        <v>1148</v>
      </c>
      <c r="E78" s="23" t="s">
        <v>51</v>
      </c>
      <c r="K78" s="285">
        <v>6784</v>
      </c>
      <c r="L78" s="23" t="s">
        <v>1149</v>
      </c>
      <c r="M78" s="23" t="s">
        <v>1150</v>
      </c>
    </row>
    <row r="79" spans="2:13" x14ac:dyDescent="0.2">
      <c r="D79" s="23" t="s">
        <v>1151</v>
      </c>
      <c r="E79" s="23" t="s">
        <v>51</v>
      </c>
      <c r="K79" s="285">
        <v>17455</v>
      </c>
      <c r="L79" s="23" t="s">
        <v>1152</v>
      </c>
      <c r="M79" s="23" t="s">
        <v>1153</v>
      </c>
    </row>
    <row r="80" spans="2:13" x14ac:dyDescent="0.2">
      <c r="D80" s="23" t="s">
        <v>1154</v>
      </c>
      <c r="E80" s="23" t="s">
        <v>114</v>
      </c>
      <c r="K80" s="286">
        <f>K78/K75*1000</f>
        <v>92023.874118285399</v>
      </c>
      <c r="L80" s="23" t="s">
        <v>34</v>
      </c>
    </row>
    <row r="81" spans="2:13" x14ac:dyDescent="0.2">
      <c r="D81" s="23" t="s">
        <v>1155</v>
      </c>
      <c r="E81" s="23" t="s">
        <v>114</v>
      </c>
      <c r="K81" s="286">
        <f>(K79-K78)/K77*1000</f>
        <v>55874.960728872138</v>
      </c>
      <c r="L81" s="23" t="s">
        <v>34</v>
      </c>
      <c r="M81" s="23" t="s">
        <v>1156</v>
      </c>
    </row>
    <row r="82" spans="2:13" x14ac:dyDescent="0.2">
      <c r="D82" s="23" t="s">
        <v>1157</v>
      </c>
      <c r="E82" s="23" t="s">
        <v>54</v>
      </c>
      <c r="K82" s="282">
        <v>5.0000000000000001E-3</v>
      </c>
      <c r="L82" s="23" t="s">
        <v>35</v>
      </c>
      <c r="M82" s="23" t="s">
        <v>1158</v>
      </c>
    </row>
    <row r="83" spans="2:13" x14ac:dyDescent="0.2">
      <c r="D83" s="23" t="s">
        <v>1159</v>
      </c>
      <c r="E83" s="23" t="s">
        <v>54</v>
      </c>
      <c r="K83" s="282">
        <v>3.5000000000000003E-2</v>
      </c>
      <c r="L83" s="23" t="s">
        <v>35</v>
      </c>
      <c r="M83" s="23" t="s">
        <v>1160</v>
      </c>
    </row>
    <row r="84" spans="2:13" ht="25.5" x14ac:dyDescent="0.2">
      <c r="D84" s="23" t="s">
        <v>1161</v>
      </c>
      <c r="E84" s="23" t="s">
        <v>1141</v>
      </c>
      <c r="K84" s="285">
        <v>1163</v>
      </c>
      <c r="L84" s="45" t="s">
        <v>1162</v>
      </c>
      <c r="M84" s="23" t="s">
        <v>1163</v>
      </c>
    </row>
    <row r="85" spans="2:13" x14ac:dyDescent="0.2">
      <c r="D85" s="23" t="s">
        <v>1164</v>
      </c>
      <c r="E85" s="23" t="s">
        <v>54</v>
      </c>
      <c r="K85" s="282">
        <v>2E-3</v>
      </c>
      <c r="L85" s="23" t="s">
        <v>35</v>
      </c>
    </row>
    <row r="86" spans="2:13" x14ac:dyDescent="0.2">
      <c r="D86" s="23" t="s">
        <v>1165</v>
      </c>
      <c r="E86" s="23" t="s">
        <v>54</v>
      </c>
      <c r="K86" s="282">
        <v>0.15</v>
      </c>
      <c r="L86" s="23" t="s">
        <v>35</v>
      </c>
      <c r="M86" s="45" t="s">
        <v>1166</v>
      </c>
    </row>
    <row r="87" spans="2:13" ht="25.5" x14ac:dyDescent="0.2">
      <c r="D87" s="23" t="s">
        <v>1167</v>
      </c>
      <c r="E87" s="23" t="s">
        <v>1168</v>
      </c>
      <c r="K87" s="285">
        <v>20</v>
      </c>
      <c r="L87" s="45" t="s">
        <v>1169</v>
      </c>
      <c r="M87" s="23" t="s">
        <v>1170</v>
      </c>
    </row>
    <row r="88" spans="2:13" x14ac:dyDescent="0.2">
      <c r="D88" s="23" t="s">
        <v>1171</v>
      </c>
      <c r="E88" s="23" t="s">
        <v>1168</v>
      </c>
      <c r="K88" s="285">
        <v>150</v>
      </c>
      <c r="L88" s="23" t="s">
        <v>1172</v>
      </c>
      <c r="M88" s="23" t="s">
        <v>1173</v>
      </c>
    </row>
    <row r="89" spans="2:13" ht="25.5" x14ac:dyDescent="0.2">
      <c r="D89" s="23" t="s">
        <v>1174</v>
      </c>
      <c r="E89" s="23" t="s">
        <v>54</v>
      </c>
      <c r="K89" s="282">
        <v>6.5000000000000002E-2</v>
      </c>
      <c r="L89" s="23" t="s">
        <v>1175</v>
      </c>
      <c r="M89" s="45" t="s">
        <v>1176</v>
      </c>
    </row>
    <row r="90" spans="2:13" x14ac:dyDescent="0.2">
      <c r="D90" s="23" t="s">
        <v>1380</v>
      </c>
      <c r="E90" s="23" t="s">
        <v>54</v>
      </c>
      <c r="K90" s="258">
        <f>1-Inputs!$K$121-Inputs!$K$119-Inputs!$K$120</f>
        <v>0.32956941876881873</v>
      </c>
      <c r="L90" s="23" t="s">
        <v>1206</v>
      </c>
    </row>
    <row r="92" spans="2:13" x14ac:dyDescent="0.2">
      <c r="B92" s="5" t="s">
        <v>8</v>
      </c>
      <c r="C92" s="5" t="s">
        <v>8</v>
      </c>
      <c r="D92" s="25" t="s">
        <v>1915</v>
      </c>
      <c r="E92" s="26"/>
      <c r="F92" s="26"/>
      <c r="G92" s="26"/>
      <c r="H92" s="26"/>
      <c r="I92" s="26"/>
      <c r="J92" s="26"/>
      <c r="K92" s="26"/>
      <c r="L92" s="26"/>
      <c r="M92" s="26"/>
    </row>
    <row r="93" spans="2:13" x14ac:dyDescent="0.2">
      <c r="D93" s="31" t="s">
        <v>42</v>
      </c>
      <c r="E93" s="53" t="s">
        <v>43</v>
      </c>
      <c r="K93" s="174">
        <v>197</v>
      </c>
      <c r="L93" s="31" t="s">
        <v>44</v>
      </c>
      <c r="M93" s="31" t="s">
        <v>45</v>
      </c>
    </row>
    <row r="94" spans="2:13" x14ac:dyDescent="0.2">
      <c r="D94" s="31" t="s">
        <v>46</v>
      </c>
      <c r="E94" s="53" t="s">
        <v>47</v>
      </c>
      <c r="K94" s="182">
        <v>86</v>
      </c>
      <c r="L94" s="31" t="s">
        <v>48</v>
      </c>
      <c r="M94" s="36" t="s">
        <v>49</v>
      </c>
    </row>
    <row r="95" spans="2:13" ht="25.5" x14ac:dyDescent="0.2">
      <c r="D95" s="31" t="s">
        <v>991</v>
      </c>
      <c r="E95" s="53" t="s">
        <v>43</v>
      </c>
      <c r="K95" s="21">
        <f>Historicals!$Q$7</f>
        <v>16956</v>
      </c>
      <c r="L95" s="31" t="s">
        <v>1056</v>
      </c>
      <c r="M95" s="36" t="s">
        <v>992</v>
      </c>
    </row>
    <row r="96" spans="2:13" x14ac:dyDescent="0.2">
      <c r="D96" s="31" t="s">
        <v>50</v>
      </c>
      <c r="E96" s="53" t="s">
        <v>51</v>
      </c>
      <c r="K96" s="183">
        <f>K95*QperY/MperB</f>
        <v>67.823999999999998</v>
      </c>
      <c r="L96" s="31" t="s">
        <v>1057</v>
      </c>
      <c r="M96" s="36" t="s">
        <v>52</v>
      </c>
    </row>
    <row r="97" spans="4:13" ht="51" x14ac:dyDescent="0.2">
      <c r="D97" s="31" t="s">
        <v>53</v>
      </c>
      <c r="E97" s="53" t="s">
        <v>54</v>
      </c>
      <c r="F97" s="82">
        <f>G97</f>
        <v>0.35</v>
      </c>
      <c r="G97" s="184">
        <v>0.35</v>
      </c>
      <c r="H97" s="82">
        <f>G97</f>
        <v>0.35</v>
      </c>
      <c r="I97" s="82">
        <f>G97</f>
        <v>0.35</v>
      </c>
      <c r="J97" s="82">
        <f>G97</f>
        <v>0.35</v>
      </c>
      <c r="K97" s="82">
        <f>Inputs!G97</f>
        <v>0.35</v>
      </c>
      <c r="L97" s="31" t="s">
        <v>35</v>
      </c>
      <c r="M97" s="36" t="s">
        <v>2116</v>
      </c>
    </row>
    <row r="98" spans="4:13" ht="25.5" x14ac:dyDescent="0.2">
      <c r="D98" s="31" t="s">
        <v>55</v>
      </c>
      <c r="E98" s="53" t="s">
        <v>54</v>
      </c>
      <c r="F98" s="82">
        <f>G98</f>
        <v>0.03</v>
      </c>
      <c r="G98" s="184">
        <v>0.03</v>
      </c>
      <c r="H98" s="82">
        <f>G98</f>
        <v>0.03</v>
      </c>
      <c r="I98" s="82">
        <f>G98</f>
        <v>0.03</v>
      </c>
      <c r="J98" s="82">
        <f>G98</f>
        <v>0.03</v>
      </c>
      <c r="K98" s="82">
        <f>Inputs!G98</f>
        <v>0.03</v>
      </c>
      <c r="L98" s="31" t="s">
        <v>56</v>
      </c>
      <c r="M98" s="36" t="s">
        <v>2020</v>
      </c>
    </row>
    <row r="99" spans="4:13" x14ac:dyDescent="0.2">
      <c r="D99" s="31" t="s">
        <v>57</v>
      </c>
      <c r="E99" s="53" t="s">
        <v>54</v>
      </c>
      <c r="K99" s="81">
        <f>Historicals!$J$9/Historicals!$J$7</f>
        <v>0.20865170567354552</v>
      </c>
      <c r="L99" s="31" t="s">
        <v>1058</v>
      </c>
      <c r="M99" s="36" t="s">
        <v>1034</v>
      </c>
    </row>
    <row r="100" spans="4:13" ht="25.5" x14ac:dyDescent="0.2">
      <c r="D100" s="23" t="s">
        <v>1358</v>
      </c>
      <c r="E100" s="23" t="s">
        <v>51</v>
      </c>
      <c r="K100" s="269">
        <f>Model!$F$136</f>
        <v>88.815528</v>
      </c>
      <c r="L100" s="23" t="s">
        <v>1359</v>
      </c>
      <c r="M100" s="45" t="s">
        <v>2244</v>
      </c>
    </row>
    <row r="101" spans="4:13" ht="25.5" x14ac:dyDescent="0.2">
      <c r="D101" s="23" t="s">
        <v>1177</v>
      </c>
      <c r="E101" s="23" t="s">
        <v>43</v>
      </c>
      <c r="K101" s="285">
        <v>23470</v>
      </c>
      <c r="L101" s="45" t="s">
        <v>1178</v>
      </c>
    </row>
    <row r="102" spans="4:13" x14ac:dyDescent="0.2">
      <c r="D102" s="23" t="s">
        <v>1179</v>
      </c>
      <c r="E102" s="23" t="s">
        <v>43</v>
      </c>
      <c r="K102" s="285">
        <v>9772</v>
      </c>
      <c r="L102" s="23" t="s">
        <v>1180</v>
      </c>
      <c r="M102" s="23" t="s">
        <v>1181</v>
      </c>
    </row>
    <row r="103" spans="4:13" x14ac:dyDescent="0.2">
      <c r="D103" s="23" t="s">
        <v>1182</v>
      </c>
      <c r="E103" s="23" t="s">
        <v>54</v>
      </c>
      <c r="K103" s="258">
        <f>K101/(K101+K102)</f>
        <v>0.7060345346248722</v>
      </c>
      <c r="L103" s="23" t="s">
        <v>34</v>
      </c>
      <c r="M103" s="23" t="s">
        <v>1183</v>
      </c>
    </row>
    <row r="104" spans="4:13" x14ac:dyDescent="0.2">
      <c r="D104" s="23" t="s">
        <v>1184</v>
      </c>
      <c r="E104" s="23" t="s">
        <v>54</v>
      </c>
      <c r="K104" s="287">
        <f>Historicals!$J$8/Historicals!$J$7</f>
        <v>0.79134829432645448</v>
      </c>
      <c r="L104" s="23" t="s">
        <v>1185</v>
      </c>
      <c r="M104" s="23" t="s">
        <v>1186</v>
      </c>
    </row>
    <row r="105" spans="4:13" x14ac:dyDescent="0.2">
      <c r="D105" s="23" t="s">
        <v>1187</v>
      </c>
      <c r="E105" s="23" t="s">
        <v>54</v>
      </c>
      <c r="K105" s="282">
        <v>0.24</v>
      </c>
      <c r="L105" s="23" t="s">
        <v>2168</v>
      </c>
      <c r="M105" s="23" t="s">
        <v>1188</v>
      </c>
    </row>
    <row r="106" spans="4:13" x14ac:dyDescent="0.2">
      <c r="D106" s="23" t="s">
        <v>1189</v>
      </c>
      <c r="E106" s="23" t="s">
        <v>54</v>
      </c>
      <c r="K106" s="282">
        <v>0.45</v>
      </c>
      <c r="L106" s="23" t="s">
        <v>1190</v>
      </c>
      <c r="M106" s="23" t="s">
        <v>1191</v>
      </c>
    </row>
    <row r="107" spans="4:13" x14ac:dyDescent="0.2">
      <c r="D107" s="23" t="s">
        <v>1192</v>
      </c>
      <c r="E107" s="23" t="s">
        <v>54</v>
      </c>
      <c r="K107" s="282">
        <v>0.65</v>
      </c>
      <c r="L107" s="23" t="s">
        <v>1193</v>
      </c>
    </row>
    <row r="108" spans="4:13" x14ac:dyDescent="0.2">
      <c r="D108" s="23" t="s">
        <v>1194</v>
      </c>
      <c r="E108" s="23" t="s">
        <v>54</v>
      </c>
      <c r="K108" s="288">
        <v>0.42499999999999999</v>
      </c>
      <c r="L108" s="23" t="s">
        <v>1195</v>
      </c>
    </row>
    <row r="109" spans="4:13" x14ac:dyDescent="0.2">
      <c r="D109" s="23" t="s">
        <v>1196</v>
      </c>
      <c r="E109" s="23" t="s">
        <v>43</v>
      </c>
      <c r="K109" s="289">
        <f>Historicals!$G$7</f>
        <v>4585</v>
      </c>
      <c r="L109" s="23" t="s">
        <v>1197</v>
      </c>
      <c r="M109" s="23" t="s">
        <v>1198</v>
      </c>
    </row>
    <row r="110" spans="4:13" x14ac:dyDescent="0.2">
      <c r="D110" s="23" t="s">
        <v>1360</v>
      </c>
      <c r="E110" s="23" t="s">
        <v>51</v>
      </c>
      <c r="K110" s="268">
        <f>Inputs!$K$100*Inputs!$K$103</f>
        <v>62.706829978942309</v>
      </c>
      <c r="L110" s="23" t="s">
        <v>34</v>
      </c>
    </row>
    <row r="111" spans="4:13" x14ac:dyDescent="0.2">
      <c r="D111" s="23" t="s">
        <v>1361</v>
      </c>
      <c r="E111" s="23" t="s">
        <v>51</v>
      </c>
      <c r="K111" s="268">
        <f>Inputs!$K$100*(1-Inputs!$K$103)*(1-Inputs!$K$86)</f>
        <v>22.19239331789904</v>
      </c>
      <c r="L111" s="23" t="s">
        <v>34</v>
      </c>
    </row>
    <row r="112" spans="4:13" x14ac:dyDescent="0.2">
      <c r="D112" s="23" t="s">
        <v>1362</v>
      </c>
      <c r="E112" s="23" t="s">
        <v>51</v>
      </c>
      <c r="K112" s="268">
        <f>Inputs!$K$100*(1-Inputs!$K$103)*Inputs!$K$86</f>
        <v>3.9163047031586542</v>
      </c>
      <c r="L112" s="23" t="s">
        <v>34</v>
      </c>
    </row>
    <row r="113" spans="4:13" x14ac:dyDescent="0.2">
      <c r="D113" s="23" t="s">
        <v>1199</v>
      </c>
      <c r="E113" s="23" t="s">
        <v>54</v>
      </c>
      <c r="K113" s="261">
        <f>$K$112/($K$110+$K$111)</f>
        <v>4.6128863740787125E-2</v>
      </c>
      <c r="L113" s="23" t="s">
        <v>34</v>
      </c>
      <c r="M113" s="23" t="s">
        <v>1200</v>
      </c>
    </row>
    <row r="114" spans="4:13" x14ac:dyDescent="0.2">
      <c r="D114" s="23" t="s">
        <v>1201</v>
      </c>
      <c r="E114" s="23" t="s">
        <v>1141</v>
      </c>
      <c r="K114" s="268">
        <f>Inputs!$K$75*(1+Inputs!$K$82)</f>
        <v>74.088599999999985</v>
      </c>
      <c r="L114" s="23" t="s">
        <v>34</v>
      </c>
    </row>
    <row r="115" spans="4:13" x14ac:dyDescent="0.2">
      <c r="D115" s="23" t="s">
        <v>1202</v>
      </c>
      <c r="E115" s="23" t="s">
        <v>1141</v>
      </c>
      <c r="K115" s="268">
        <f>Inputs!$K$77*(1+Inputs!$K$82)</f>
        <v>191.93489999999997</v>
      </c>
      <c r="L115" s="23" t="s">
        <v>34</v>
      </c>
    </row>
    <row r="116" spans="4:13" x14ac:dyDescent="0.2">
      <c r="D116" s="23" t="s">
        <v>1203</v>
      </c>
      <c r="E116" s="23" t="s">
        <v>114</v>
      </c>
      <c r="K116" s="286">
        <f>Inputs!$K$80*(1+Inputs!$K$83)/12</f>
        <v>7937.0591427021145</v>
      </c>
      <c r="L116" s="23" t="s">
        <v>34</v>
      </c>
    </row>
    <row r="117" spans="4:13" x14ac:dyDescent="0.2">
      <c r="D117" s="23" t="s">
        <v>1204</v>
      </c>
      <c r="E117" s="23" t="s">
        <v>114</v>
      </c>
      <c r="K117" s="286">
        <f>Inputs!$K$81*(1+Inputs!$K$83)/12</f>
        <v>4819.2153628652213</v>
      </c>
      <c r="L117" s="23" t="s">
        <v>34</v>
      </c>
    </row>
    <row r="118" spans="4:13" x14ac:dyDescent="0.2">
      <c r="D118" s="23" t="s">
        <v>1205</v>
      </c>
      <c r="E118" s="23" t="s">
        <v>54</v>
      </c>
      <c r="K118" s="258">
        <f>Inputs!$K$106*Inputs!$K$107+(1-Inputs!$K$106)*Inputs!$K$108</f>
        <v>0.52625000000000011</v>
      </c>
      <c r="L118" s="23" t="s">
        <v>34</v>
      </c>
    </row>
    <row r="119" spans="4:13" x14ac:dyDescent="0.2">
      <c r="D119" s="23" t="s">
        <v>1365</v>
      </c>
      <c r="E119" s="23" t="s">
        <v>54</v>
      </c>
      <c r="K119" s="258">
        <f>($K$110*(1-Inputs!$K$104)*1000/($K$114*12*Inputs!$K$105)-Inputs!$K$87*(1-$K$121-$K$120))/(Inputs!$K$88-Inputs!$K$87)</f>
        <v>0.36484871662098795</v>
      </c>
      <c r="L119" s="23" t="s">
        <v>1206</v>
      </c>
      <c r="M119" s="23" t="s">
        <v>1379</v>
      </c>
    </row>
    <row r="120" spans="4:13" ht="25.5" x14ac:dyDescent="0.2">
      <c r="D120" s="23" t="s">
        <v>1366</v>
      </c>
      <c r="E120" s="23" t="s">
        <v>54</v>
      </c>
      <c r="K120" s="258">
        <f>$K$110*Inputs!$K$104*1000/($K$114*12*Inputs!$K$89*$K$116*$K$118)</f>
        <v>0.20558186461019334</v>
      </c>
      <c r="L120" s="23" t="s">
        <v>1206</v>
      </c>
      <c r="M120" s="45" t="s">
        <v>1368</v>
      </c>
    </row>
    <row r="121" spans="4:13" ht="25.5" x14ac:dyDescent="0.2">
      <c r="D121" s="45" t="s">
        <v>1378</v>
      </c>
      <c r="E121" s="23" t="s">
        <v>54</v>
      </c>
      <c r="K121" s="288">
        <v>0.1</v>
      </c>
      <c r="L121" s="23" t="s">
        <v>35</v>
      </c>
      <c r="M121" s="45" t="s">
        <v>2169</v>
      </c>
    </row>
    <row r="122" spans="4:13" x14ac:dyDescent="0.2">
      <c r="D122" s="23" t="s">
        <v>1367</v>
      </c>
      <c r="E122" s="23" t="s">
        <v>1168</v>
      </c>
      <c r="K122" s="290">
        <f>Inputs!$K$90*Inputs!$K$87+$K$119*Inputs!$K$88+$K$120*Inputs!$K$89*$K$116</f>
        <v>167.38019804359999</v>
      </c>
      <c r="L122" s="23" t="s">
        <v>34</v>
      </c>
      <c r="M122" s="23" t="s">
        <v>2170</v>
      </c>
    </row>
    <row r="123" spans="4:13" ht="25.5" x14ac:dyDescent="0.2">
      <c r="D123" s="23" t="s">
        <v>1381</v>
      </c>
      <c r="E123" s="23" t="s">
        <v>54</v>
      </c>
      <c r="K123" s="258">
        <f>$K$111/($K$110+$K$111)</f>
        <v>0.26139689453112702</v>
      </c>
      <c r="L123" s="23" t="s">
        <v>34</v>
      </c>
      <c r="M123" s="45" t="s">
        <v>1382</v>
      </c>
    </row>
    <row r="124" spans="4:13" ht="25.5" x14ac:dyDescent="0.2">
      <c r="D124" s="45" t="s">
        <v>1383</v>
      </c>
      <c r="E124" s="23" t="s">
        <v>54</v>
      </c>
      <c r="K124" s="258">
        <f>Inputs!$K$81/Inputs!$K$80</f>
        <v>0.60717896593933585</v>
      </c>
      <c r="L124" s="23" t="s">
        <v>34</v>
      </c>
      <c r="M124" s="45" t="s">
        <v>2171</v>
      </c>
    </row>
    <row r="125" spans="4:13" x14ac:dyDescent="0.2">
      <c r="D125" s="23" t="s">
        <v>1363</v>
      </c>
      <c r="E125" s="23" t="s">
        <v>1168</v>
      </c>
      <c r="K125" s="290">
        <f>$K$110*1000/$K$114/12</f>
        <v>70.531352528079353</v>
      </c>
      <c r="L125" s="23" t="s">
        <v>34</v>
      </c>
    </row>
    <row r="126" spans="4:13" x14ac:dyDescent="0.2">
      <c r="D126" s="23" t="s">
        <v>1364</v>
      </c>
      <c r="E126" s="23" t="s">
        <v>1168</v>
      </c>
      <c r="K126" s="290">
        <f>$K$111*1000/$K$115/12</f>
        <v>9.6353821520990728</v>
      </c>
      <c r="L126" s="23" t="s">
        <v>34</v>
      </c>
    </row>
    <row r="127" spans="4:13" x14ac:dyDescent="0.2">
      <c r="D127" s="23" t="s">
        <v>1207</v>
      </c>
      <c r="E127" s="23" t="s">
        <v>1168</v>
      </c>
      <c r="K127" s="290">
        <f>Inputs!$K$109/1000*Inputs!$K$103*1000/Inputs!$K$75/12</f>
        <v>3.6593058659511652</v>
      </c>
      <c r="L127" s="23" t="s">
        <v>1208</v>
      </c>
    </row>
    <row r="128" spans="4:13" x14ac:dyDescent="0.2">
      <c r="D128" s="45" t="s">
        <v>1384</v>
      </c>
      <c r="E128" s="23" t="s">
        <v>833</v>
      </c>
      <c r="K128" s="268">
        <f>1.375*(1-LN(Inputs!$K$126/Inputs!$K$127)/LN(Inputs!$K$125/Inputs!$K$127))</f>
        <v>0.92507471368274441</v>
      </c>
      <c r="L128" s="23" t="s">
        <v>34</v>
      </c>
      <c r="M128" s="45" t="s">
        <v>2172</v>
      </c>
    </row>
    <row r="130" spans="2:13" x14ac:dyDescent="0.2">
      <c r="B130" s="5" t="s">
        <v>8</v>
      </c>
      <c r="C130" s="5" t="s">
        <v>8</v>
      </c>
      <c r="D130" s="25" t="s">
        <v>1916</v>
      </c>
      <c r="E130" s="26"/>
      <c r="F130" s="26"/>
      <c r="G130" s="26"/>
      <c r="H130" s="26"/>
      <c r="I130" s="26"/>
      <c r="J130" s="26"/>
      <c r="K130" s="26"/>
      <c r="L130" s="26"/>
      <c r="M130" s="26"/>
    </row>
    <row r="131" spans="2:13" ht="25.5" x14ac:dyDescent="0.2">
      <c r="D131" s="23" t="s">
        <v>1227</v>
      </c>
      <c r="E131" s="23" t="s">
        <v>51</v>
      </c>
      <c r="K131" s="291">
        <f>(Historicals!$J$10-Historicals!$J$37)/MperB/0.75</f>
        <v>18.661333333333335</v>
      </c>
      <c r="L131" s="23" t="s">
        <v>1228</v>
      </c>
      <c r="M131" s="45" t="s">
        <v>1229</v>
      </c>
    </row>
    <row r="132" spans="2:13" x14ac:dyDescent="0.2">
      <c r="D132" s="23" t="s">
        <v>1230</v>
      </c>
      <c r="E132" s="23" t="s">
        <v>54</v>
      </c>
      <c r="K132" s="279">
        <v>1</v>
      </c>
      <c r="L132" s="23" t="s">
        <v>2173</v>
      </c>
      <c r="M132" s="23" t="s">
        <v>1231</v>
      </c>
    </row>
    <row r="133" spans="2:13" x14ac:dyDescent="0.2">
      <c r="D133" s="23" t="s">
        <v>1232</v>
      </c>
      <c r="E133" s="23" t="s">
        <v>54</v>
      </c>
      <c r="K133" s="279">
        <v>0.6</v>
      </c>
      <c r="L133" s="23" t="s">
        <v>35</v>
      </c>
    </row>
    <row r="134" spans="2:13" ht="25.5" x14ac:dyDescent="0.2">
      <c r="D134" s="45" t="s">
        <v>1305</v>
      </c>
      <c r="E134" s="23" t="s">
        <v>827</v>
      </c>
      <c r="K134" s="292">
        <v>2036</v>
      </c>
      <c r="L134" s="23" t="s">
        <v>35</v>
      </c>
      <c r="M134" s="23" t="s">
        <v>2174</v>
      </c>
    </row>
    <row r="136" spans="2:13" x14ac:dyDescent="0.2">
      <c r="B136" s="5" t="s">
        <v>8</v>
      </c>
      <c r="C136" s="5" t="s">
        <v>8</v>
      </c>
      <c r="D136" s="25" t="s">
        <v>1917</v>
      </c>
      <c r="E136" s="26"/>
      <c r="F136" s="26"/>
      <c r="G136" s="26"/>
      <c r="H136" s="26"/>
      <c r="I136" s="26"/>
      <c r="J136" s="26"/>
      <c r="K136" s="26"/>
      <c r="L136" s="26"/>
      <c r="M136" s="26"/>
    </row>
    <row r="137" spans="2:13" x14ac:dyDescent="0.2">
      <c r="D137" s="31" t="s">
        <v>58</v>
      </c>
      <c r="E137" s="53" t="s">
        <v>59</v>
      </c>
      <c r="K137" s="174">
        <v>6</v>
      </c>
      <c r="L137" s="31" t="s">
        <v>35</v>
      </c>
      <c r="M137" s="31" t="s">
        <v>966</v>
      </c>
    </row>
    <row r="138" spans="2:13" ht="38.25" x14ac:dyDescent="0.2">
      <c r="D138" s="31" t="s">
        <v>967</v>
      </c>
      <c r="E138" s="53" t="s">
        <v>54</v>
      </c>
      <c r="K138" s="81">
        <f>Historicals!$Q$10/Historicals!$Q$7</f>
        <v>0.5816820004718094</v>
      </c>
      <c r="L138" s="31" t="s">
        <v>1057</v>
      </c>
      <c r="M138" s="36" t="s">
        <v>994</v>
      </c>
    </row>
    <row r="139" spans="2:13" ht="25.5" x14ac:dyDescent="0.2">
      <c r="D139" s="31" t="s">
        <v>1044</v>
      </c>
      <c r="E139" s="53" t="s">
        <v>54</v>
      </c>
      <c r="K139" s="81">
        <f>(Historicals!$J$37-Historicals!$I$37)/Historicals!$Q$7</f>
        <v>0.14343005425807973</v>
      </c>
      <c r="L139" s="31" t="s">
        <v>1059</v>
      </c>
      <c r="M139" s="36" t="s">
        <v>1045</v>
      </c>
    </row>
    <row r="140" spans="2:13" x14ac:dyDescent="0.2">
      <c r="D140" s="31" t="s">
        <v>968</v>
      </c>
      <c r="E140" s="53" t="s">
        <v>60</v>
      </c>
      <c r="K140" s="81">
        <f>(Historicals!$Q$11-Historicals!$Q$23)/Historicals!$Q$7</f>
        <v>3.7803727294173153E-2</v>
      </c>
      <c r="L140" s="31" t="s">
        <v>1057</v>
      </c>
      <c r="M140" s="31" t="s">
        <v>995</v>
      </c>
    </row>
    <row r="141" spans="2:13" x14ac:dyDescent="0.2">
      <c r="D141" s="31" t="s">
        <v>61</v>
      </c>
      <c r="E141" s="53" t="s">
        <v>60</v>
      </c>
      <c r="F141" s="82">
        <f>G141</f>
        <v>7.0000000000000007E-2</v>
      </c>
      <c r="G141" s="184">
        <v>7.0000000000000007E-2</v>
      </c>
      <c r="H141" s="82">
        <f>G141</f>
        <v>7.0000000000000007E-2</v>
      </c>
      <c r="I141" s="82">
        <f>G141</f>
        <v>7.0000000000000007E-2</v>
      </c>
      <c r="J141" s="82">
        <f>G141</f>
        <v>7.0000000000000007E-2</v>
      </c>
      <c r="K141" s="82">
        <f>Inputs!G141</f>
        <v>7.0000000000000007E-2</v>
      </c>
      <c r="L141" s="31" t="s">
        <v>35</v>
      </c>
      <c r="M141" s="31" t="s">
        <v>2021</v>
      </c>
    </row>
    <row r="142" spans="2:13" ht="25.5" x14ac:dyDescent="0.2">
      <c r="D142" s="31" t="s">
        <v>969</v>
      </c>
      <c r="E142" s="53" t="s">
        <v>60</v>
      </c>
      <c r="K142" s="81">
        <f>Historicals!$Q$23/Historicals!$Q$7</f>
        <v>6.3104505779665018E-2</v>
      </c>
      <c r="L142" s="31" t="s">
        <v>1057</v>
      </c>
      <c r="M142" s="36" t="s">
        <v>996</v>
      </c>
    </row>
    <row r="143" spans="2:13" ht="25.5" x14ac:dyDescent="0.2">
      <c r="D143" s="31" t="s">
        <v>62</v>
      </c>
      <c r="E143" s="53" t="s">
        <v>60</v>
      </c>
      <c r="F143" s="82">
        <f>G143</f>
        <v>0.06</v>
      </c>
      <c r="G143" s="184">
        <v>0.06</v>
      </c>
      <c r="H143" s="82">
        <f>G143</f>
        <v>0.06</v>
      </c>
      <c r="I143" s="82">
        <f>G143</f>
        <v>0.06</v>
      </c>
      <c r="J143" s="82">
        <f>G143</f>
        <v>0.06</v>
      </c>
      <c r="K143" s="82">
        <f>Inputs!G143</f>
        <v>0.06</v>
      </c>
      <c r="L143" s="31" t="s">
        <v>35</v>
      </c>
      <c r="M143" s="36" t="s">
        <v>2022</v>
      </c>
    </row>
    <row r="144" spans="2:13" ht="25.5" x14ac:dyDescent="0.2">
      <c r="D144" s="31" t="s">
        <v>970</v>
      </c>
      <c r="E144" s="53" t="s">
        <v>60</v>
      </c>
      <c r="K144" s="81">
        <f>Historicals!$Q$13/Historicals!$Q$7</f>
        <v>0.13924274593064401</v>
      </c>
      <c r="L144" s="31" t="s">
        <v>1057</v>
      </c>
      <c r="M144" s="36" t="s">
        <v>997</v>
      </c>
    </row>
    <row r="145" spans="2:13" ht="38.25" x14ac:dyDescent="0.2">
      <c r="D145" s="31" t="s">
        <v>993</v>
      </c>
      <c r="E145" s="53" t="s">
        <v>43</v>
      </c>
      <c r="K145" s="174">
        <v>81</v>
      </c>
      <c r="L145" s="31" t="s">
        <v>1060</v>
      </c>
      <c r="M145" s="36" t="s">
        <v>971</v>
      </c>
    </row>
    <row r="146" spans="2:13" ht="25.5" x14ac:dyDescent="0.2">
      <c r="D146" s="31" t="s">
        <v>972</v>
      </c>
      <c r="E146" s="53" t="s">
        <v>60</v>
      </c>
      <c r="K146" s="22">
        <f>(Historicals!$Q$14-Historicals!$Q$24)/Historicals!$Q$7-(Historicals!$J$54-$K$145)/Historicals!$J$7</f>
        <v>9.0929280694779555E-2</v>
      </c>
      <c r="L146" s="31" t="s">
        <v>1057</v>
      </c>
      <c r="M146" s="36" t="s">
        <v>998</v>
      </c>
    </row>
    <row r="147" spans="2:13" x14ac:dyDescent="0.2">
      <c r="D147" s="31" t="s">
        <v>63</v>
      </c>
      <c r="E147" s="53" t="s">
        <v>60</v>
      </c>
      <c r="F147" s="82">
        <f>G147</f>
        <v>0.05</v>
      </c>
      <c r="G147" s="184">
        <v>0.05</v>
      </c>
      <c r="H147" s="82">
        <f>G147</f>
        <v>0.05</v>
      </c>
      <c r="I147" s="82">
        <f>G147</f>
        <v>0.05</v>
      </c>
      <c r="J147" s="82">
        <f>G147</f>
        <v>0.05</v>
      </c>
      <c r="K147" s="82">
        <f>Inputs!G147</f>
        <v>0.05</v>
      </c>
      <c r="L147" s="31" t="s">
        <v>35</v>
      </c>
      <c r="M147" s="31" t="s">
        <v>2023</v>
      </c>
    </row>
    <row r="148" spans="2:13" ht="38.25" x14ac:dyDescent="0.2">
      <c r="D148" s="36" t="s">
        <v>1086</v>
      </c>
      <c r="E148" s="53" t="s">
        <v>59</v>
      </c>
      <c r="K148" s="185">
        <v>0.5</v>
      </c>
      <c r="L148" s="31" t="s">
        <v>35</v>
      </c>
      <c r="M148" s="36" t="s">
        <v>1087</v>
      </c>
    </row>
    <row r="149" spans="2:13" ht="38.25" x14ac:dyDescent="0.2">
      <c r="D149" s="31" t="s">
        <v>1088</v>
      </c>
      <c r="E149" s="53" t="s">
        <v>59</v>
      </c>
      <c r="K149" s="185">
        <v>0.75</v>
      </c>
      <c r="L149" s="31" t="s">
        <v>1089</v>
      </c>
      <c r="M149" s="36" t="s">
        <v>1090</v>
      </c>
    </row>
    <row r="150" spans="2:13" ht="25.5" x14ac:dyDescent="0.2">
      <c r="D150" s="36" t="s">
        <v>1091</v>
      </c>
      <c r="E150" s="53" t="s">
        <v>59</v>
      </c>
      <c r="K150" s="188">
        <v>1</v>
      </c>
      <c r="L150" s="31" t="s">
        <v>35</v>
      </c>
      <c r="M150" s="36" t="s">
        <v>1092</v>
      </c>
    </row>
    <row r="151" spans="2:13" x14ac:dyDescent="0.2">
      <c r="D151" s="31" t="s">
        <v>973</v>
      </c>
      <c r="E151" s="53" t="s">
        <v>60</v>
      </c>
      <c r="K151" s="22">
        <f>(Historicals!$J$54-$K$145)/Historicals!$J$7</f>
        <v>5.0839299681126283E-3</v>
      </c>
      <c r="L151" s="31" t="s">
        <v>999</v>
      </c>
      <c r="M151" s="36" t="s">
        <v>1000</v>
      </c>
    </row>
    <row r="152" spans="2:13" x14ac:dyDescent="0.2">
      <c r="D152" s="31" t="s">
        <v>64</v>
      </c>
      <c r="E152" s="53" t="s">
        <v>60</v>
      </c>
      <c r="K152" s="185">
        <v>1.4999999999999999E-2</v>
      </c>
      <c r="L152" s="31" t="s">
        <v>35</v>
      </c>
      <c r="M152" s="31" t="s">
        <v>65</v>
      </c>
    </row>
    <row r="153" spans="2:13" x14ac:dyDescent="0.2">
      <c r="D153" s="31" t="s">
        <v>974</v>
      </c>
      <c r="E153" s="53" t="s">
        <v>60</v>
      </c>
      <c r="K153" s="81">
        <f>-Historicals!$J$53/Historicals!$J$7</f>
        <v>2.7826243908308766E-2</v>
      </c>
      <c r="L153" s="31" t="s">
        <v>1001</v>
      </c>
      <c r="M153" s="31" t="s">
        <v>1002</v>
      </c>
    </row>
    <row r="154" spans="2:13" x14ac:dyDescent="0.2">
      <c r="D154" s="31" t="s">
        <v>66</v>
      </c>
      <c r="E154" s="53" t="s">
        <v>60</v>
      </c>
      <c r="K154" s="185">
        <v>0.02</v>
      </c>
      <c r="L154" s="31" t="s">
        <v>35</v>
      </c>
      <c r="M154" s="36" t="s">
        <v>67</v>
      </c>
    </row>
    <row r="155" spans="2:13" ht="25.5" x14ac:dyDescent="0.2">
      <c r="D155" s="31" t="s">
        <v>68</v>
      </c>
      <c r="E155" s="53" t="s">
        <v>69</v>
      </c>
      <c r="K155" s="185">
        <v>0.02</v>
      </c>
      <c r="L155" s="31" t="s">
        <v>70</v>
      </c>
      <c r="M155" s="36" t="s">
        <v>71</v>
      </c>
    </row>
    <row r="157" spans="2:13" x14ac:dyDescent="0.2">
      <c r="B157" s="5" t="s">
        <v>8</v>
      </c>
      <c r="C157" s="5" t="s">
        <v>8</v>
      </c>
      <c r="D157" s="25" t="s">
        <v>1918</v>
      </c>
      <c r="E157" s="26"/>
      <c r="F157" s="26"/>
      <c r="G157" s="26"/>
      <c r="H157" s="26"/>
      <c r="I157" s="26"/>
      <c r="J157" s="26"/>
      <c r="K157" s="26"/>
      <c r="L157" s="26"/>
      <c r="M157" s="26"/>
    </row>
    <row r="158" spans="2:13" ht="25.5" x14ac:dyDescent="0.2">
      <c r="D158" s="23" t="s">
        <v>1399</v>
      </c>
      <c r="E158" s="23" t="s">
        <v>54</v>
      </c>
      <c r="K158" s="282">
        <v>0.44</v>
      </c>
      <c r="L158" s="23" t="s">
        <v>1400</v>
      </c>
      <c r="M158" s="45" t="s">
        <v>1401</v>
      </c>
    </row>
    <row r="159" spans="2:13" ht="25.5" x14ac:dyDescent="0.2">
      <c r="D159" s="23" t="s">
        <v>1402</v>
      </c>
      <c r="E159" s="23" t="s">
        <v>54</v>
      </c>
      <c r="K159" s="282">
        <v>1.4E-2</v>
      </c>
      <c r="L159" s="23" t="s">
        <v>1403</v>
      </c>
      <c r="M159" s="45" t="s">
        <v>1404</v>
      </c>
    </row>
    <row r="160" spans="2:13" ht="25.5" x14ac:dyDescent="0.2">
      <c r="D160" s="45" t="s">
        <v>1405</v>
      </c>
      <c r="E160" s="23" t="s">
        <v>54</v>
      </c>
      <c r="K160" s="261">
        <f>(Inputs!$K$144-$K$159)/Inputs!$K$104</f>
        <v>0.15826501027242712</v>
      </c>
      <c r="L160" s="23" t="s">
        <v>34</v>
      </c>
      <c r="M160" s="45" t="s">
        <v>1406</v>
      </c>
    </row>
    <row r="161" spans="2:13" ht="25.5" x14ac:dyDescent="0.2">
      <c r="D161" s="23" t="s">
        <v>1407</v>
      </c>
      <c r="E161" s="23" t="s">
        <v>54</v>
      </c>
      <c r="K161" s="261">
        <f>(Inputs!$K$144-$K$159)/((Historicals!$J$8-Historicals!$I$8)/Historicals!$Q$7)</f>
        <v>0.16036973266878113</v>
      </c>
      <c r="L161" s="23" t="s">
        <v>34</v>
      </c>
      <c r="M161" s="45" t="s">
        <v>1408</v>
      </c>
    </row>
    <row r="162" spans="2:13" x14ac:dyDescent="0.2">
      <c r="D162" s="23" t="s">
        <v>1409</v>
      </c>
      <c r="E162" s="23" t="s">
        <v>54</v>
      </c>
      <c r="K162" s="258">
        <f>$K$158/Inputs!$K$104</f>
        <v>0.55601307686459367</v>
      </c>
      <c r="L162" s="23" t="s">
        <v>34</v>
      </c>
      <c r="M162" s="23" t="s">
        <v>1410</v>
      </c>
    </row>
    <row r="163" spans="2:13" ht="25.5" x14ac:dyDescent="0.2">
      <c r="D163" s="23" t="s">
        <v>1411</v>
      </c>
      <c r="E163" s="23" t="s">
        <v>54</v>
      </c>
      <c r="K163" s="258">
        <f>$K$160/$K$162</f>
        <v>0.28464260438782724</v>
      </c>
      <c r="L163" s="23" t="s">
        <v>34</v>
      </c>
      <c r="M163" s="45" t="s">
        <v>1412</v>
      </c>
    </row>
    <row r="164" spans="2:13" x14ac:dyDescent="0.2">
      <c r="D164" s="23" t="s">
        <v>1413</v>
      </c>
      <c r="E164" s="23" t="s">
        <v>54</v>
      </c>
      <c r="F164" s="257">
        <v>1.4E-2</v>
      </c>
      <c r="G164" s="257">
        <v>1.4E-2</v>
      </c>
      <c r="H164" s="257">
        <v>1.4E-2</v>
      </c>
      <c r="I164" s="257">
        <v>1.4E-2</v>
      </c>
      <c r="J164" s="257">
        <v>1.4E-2</v>
      </c>
      <c r="K164" s="258">
        <f>INDEX($F164:$J164,Inputs!$K$6)</f>
        <v>1.4E-2</v>
      </c>
      <c r="L164" s="23" t="s">
        <v>35</v>
      </c>
      <c r="M164" s="23" t="s">
        <v>1414</v>
      </c>
    </row>
    <row r="165" spans="2:13" ht="51" x14ac:dyDescent="0.2">
      <c r="D165" s="23" t="s">
        <v>1415</v>
      </c>
      <c r="E165" s="23" t="s">
        <v>54</v>
      </c>
      <c r="F165" s="257">
        <v>0.13</v>
      </c>
      <c r="G165" s="257">
        <v>0.115</v>
      </c>
      <c r="H165" s="257">
        <v>0.11</v>
      </c>
      <c r="I165" s="257">
        <v>0.16</v>
      </c>
      <c r="J165" s="257">
        <v>0.16</v>
      </c>
      <c r="K165" s="258">
        <f>IF(Inputs!$K$37&gt;0,Inputs!$K$50,INDEX($F165:$J165,Inputs!$K$6))</f>
        <v>0.115</v>
      </c>
      <c r="L165" s="45" t="s">
        <v>2175</v>
      </c>
      <c r="M165" s="36" t="s">
        <v>2176</v>
      </c>
    </row>
    <row r="166" spans="2:13" ht="25.5" x14ac:dyDescent="0.2">
      <c r="D166" s="45" t="s">
        <v>1416</v>
      </c>
      <c r="E166" s="23" t="s">
        <v>54</v>
      </c>
      <c r="F166" s="258">
        <f t="shared" ref="F166:K166" si="1">F165/$K$162</f>
        <v>0.23380745059645244</v>
      </c>
      <c r="G166" s="258">
        <f t="shared" si="1"/>
        <v>0.20682966783532333</v>
      </c>
      <c r="H166" s="258">
        <f t="shared" si="1"/>
        <v>0.19783707358161362</v>
      </c>
      <c r="I166" s="258">
        <f t="shared" si="1"/>
        <v>0.28776301611871069</v>
      </c>
      <c r="J166" s="258">
        <f t="shared" si="1"/>
        <v>0.28776301611871069</v>
      </c>
      <c r="K166" s="258">
        <f t="shared" si="1"/>
        <v>0.20682966783532333</v>
      </c>
      <c r="L166" s="23" t="s">
        <v>34</v>
      </c>
    </row>
    <row r="168" spans="2:13" x14ac:dyDescent="0.2">
      <c r="B168" s="5" t="s">
        <v>8</v>
      </c>
      <c r="C168" s="5" t="s">
        <v>8</v>
      </c>
      <c r="D168" s="25" t="s">
        <v>1919</v>
      </c>
      <c r="E168" s="26"/>
      <c r="F168" s="26"/>
      <c r="G168" s="26"/>
      <c r="H168" s="26"/>
      <c r="I168" s="26"/>
      <c r="J168" s="26"/>
      <c r="K168" s="26"/>
      <c r="L168" s="26"/>
      <c r="M168" s="26"/>
    </row>
    <row r="169" spans="2:13" ht="51" x14ac:dyDescent="0.2">
      <c r="D169" s="31" t="s">
        <v>1039</v>
      </c>
      <c r="E169" s="53" t="s">
        <v>54</v>
      </c>
      <c r="F169" s="82">
        <f>G169</f>
        <v>0.8</v>
      </c>
      <c r="G169" s="184">
        <v>0.8</v>
      </c>
      <c r="H169" s="82">
        <f>G169</f>
        <v>0.8</v>
      </c>
      <c r="I169" s="82">
        <f>G169</f>
        <v>0.8</v>
      </c>
      <c r="J169" s="82">
        <f>G169</f>
        <v>0.8</v>
      </c>
      <c r="K169" s="82">
        <f>Inputs!G169</f>
        <v>0.8</v>
      </c>
      <c r="L169" s="31" t="s">
        <v>1061</v>
      </c>
      <c r="M169" s="36" t="s">
        <v>2117</v>
      </c>
    </row>
    <row r="170" spans="2:13" ht="25.5" x14ac:dyDescent="0.2">
      <c r="D170" s="31" t="s">
        <v>72</v>
      </c>
      <c r="E170" s="53" t="s">
        <v>54</v>
      </c>
      <c r="F170" s="82">
        <f>G170</f>
        <v>1</v>
      </c>
      <c r="G170" s="184">
        <v>1</v>
      </c>
      <c r="H170" s="82">
        <f>G170</f>
        <v>1</v>
      </c>
      <c r="I170" s="82">
        <f>G170</f>
        <v>1</v>
      </c>
      <c r="J170" s="82">
        <f>G170</f>
        <v>1</v>
      </c>
      <c r="K170" s="82">
        <f>Inputs!G170</f>
        <v>1</v>
      </c>
      <c r="L170" s="31" t="s">
        <v>73</v>
      </c>
      <c r="M170" s="36" t="s">
        <v>2024</v>
      </c>
    </row>
    <row r="171" spans="2:13" ht="25.5" x14ac:dyDescent="0.2">
      <c r="D171" s="31" t="s">
        <v>74</v>
      </c>
      <c r="E171" s="53" t="s">
        <v>54</v>
      </c>
      <c r="F171" s="82">
        <f>G171</f>
        <v>0</v>
      </c>
      <c r="G171" s="184">
        <v>0</v>
      </c>
      <c r="H171" s="82">
        <f>G171</f>
        <v>0</v>
      </c>
      <c r="I171" s="82">
        <f>G171</f>
        <v>0</v>
      </c>
      <c r="J171" s="82">
        <f>G171</f>
        <v>0</v>
      </c>
      <c r="K171" s="82">
        <f>Inputs!G171</f>
        <v>0</v>
      </c>
      <c r="L171" s="31" t="s">
        <v>75</v>
      </c>
      <c r="M171" s="36" t="s">
        <v>2025</v>
      </c>
    </row>
    <row r="172" spans="2:13" ht="25.5" x14ac:dyDescent="0.2">
      <c r="D172" s="31" t="s">
        <v>961</v>
      </c>
      <c r="E172" s="53" t="s">
        <v>54</v>
      </c>
      <c r="F172" s="82">
        <f>G172</f>
        <v>1</v>
      </c>
      <c r="G172" s="184">
        <v>1</v>
      </c>
      <c r="H172" s="82">
        <f>G172</f>
        <v>1</v>
      </c>
      <c r="I172" s="82">
        <f>G172</f>
        <v>1</v>
      </c>
      <c r="J172" s="82">
        <f>G172</f>
        <v>1</v>
      </c>
      <c r="K172" s="82">
        <f>Inputs!G172</f>
        <v>1</v>
      </c>
      <c r="L172" s="31" t="s">
        <v>1061</v>
      </c>
      <c r="M172" s="36" t="s">
        <v>2256</v>
      </c>
    </row>
    <row r="174" spans="2:13" x14ac:dyDescent="0.2">
      <c r="B174" s="5" t="s">
        <v>8</v>
      </c>
      <c r="C174" s="5" t="s">
        <v>8</v>
      </c>
      <c r="D174" s="25" t="s">
        <v>1920</v>
      </c>
      <c r="E174" s="26"/>
      <c r="F174" s="26"/>
      <c r="G174" s="26"/>
      <c r="H174" s="26"/>
      <c r="I174" s="26"/>
      <c r="J174" s="26"/>
      <c r="K174" s="26"/>
      <c r="L174" s="26"/>
      <c r="M174" s="26"/>
    </row>
    <row r="175" spans="2:13" ht="38.25" x14ac:dyDescent="0.2">
      <c r="D175" s="31" t="s">
        <v>76</v>
      </c>
      <c r="E175" s="53" t="s">
        <v>54</v>
      </c>
      <c r="K175" s="185">
        <v>4.9399999999999999E-2</v>
      </c>
      <c r="L175" s="36" t="s">
        <v>77</v>
      </c>
      <c r="M175" s="36" t="s">
        <v>1464</v>
      </c>
    </row>
    <row r="176" spans="2:13" ht="38.25" x14ac:dyDescent="0.2">
      <c r="D176" s="31" t="s">
        <v>78</v>
      </c>
      <c r="E176" s="53" t="s">
        <v>54</v>
      </c>
      <c r="K176" s="185">
        <v>4.7500000000000001E-2</v>
      </c>
      <c r="L176" s="36" t="s">
        <v>925</v>
      </c>
      <c r="M176" s="36" t="s">
        <v>912</v>
      </c>
    </row>
    <row r="177" spans="4:13" ht="25.5" x14ac:dyDescent="0.2">
      <c r="D177" s="31" t="s">
        <v>1123</v>
      </c>
      <c r="E177" s="53" t="s">
        <v>47</v>
      </c>
      <c r="K177" s="186">
        <v>1</v>
      </c>
      <c r="L177" s="31" t="s">
        <v>2153</v>
      </c>
      <c r="M177" s="36" t="s">
        <v>2177</v>
      </c>
    </row>
    <row r="178" spans="4:13" ht="51" x14ac:dyDescent="0.2">
      <c r="D178" s="31" t="s">
        <v>1956</v>
      </c>
      <c r="E178" s="53" t="s">
        <v>47</v>
      </c>
      <c r="K178" s="187">
        <v>1.5</v>
      </c>
      <c r="L178" s="31" t="s">
        <v>2178</v>
      </c>
      <c r="M178" s="36" t="s">
        <v>1459</v>
      </c>
    </row>
    <row r="179" spans="4:13" x14ac:dyDescent="0.2">
      <c r="D179" s="31" t="s">
        <v>1460</v>
      </c>
      <c r="E179" s="53" t="s">
        <v>47</v>
      </c>
      <c r="K179" s="188">
        <v>2029</v>
      </c>
      <c r="L179" s="31" t="s">
        <v>2153</v>
      </c>
      <c r="M179" s="36" t="s">
        <v>1461</v>
      </c>
    </row>
    <row r="180" spans="4:13" x14ac:dyDescent="0.2">
      <c r="D180" s="31" t="s">
        <v>1462</v>
      </c>
      <c r="E180" s="53" t="s">
        <v>47</v>
      </c>
      <c r="K180" s="188">
        <v>2036</v>
      </c>
      <c r="L180" s="31" t="s">
        <v>2153</v>
      </c>
      <c r="M180" s="36" t="s">
        <v>1463</v>
      </c>
    </row>
    <row r="181" spans="4:13" ht="38.25" x14ac:dyDescent="0.2">
      <c r="D181" s="31" t="s">
        <v>79</v>
      </c>
      <c r="E181" s="53" t="s">
        <v>54</v>
      </c>
      <c r="K181" s="185">
        <v>7.0999999999999994E-2</v>
      </c>
      <c r="L181" s="31" t="s">
        <v>80</v>
      </c>
      <c r="M181" s="36" t="s">
        <v>81</v>
      </c>
    </row>
    <row r="182" spans="4:13" ht="25.5" x14ac:dyDescent="0.2">
      <c r="D182" s="31" t="s">
        <v>82</v>
      </c>
      <c r="E182" s="53" t="s">
        <v>54</v>
      </c>
      <c r="K182" s="185">
        <v>0</v>
      </c>
      <c r="L182" s="31" t="s">
        <v>36</v>
      </c>
      <c r="M182" s="36" t="s">
        <v>83</v>
      </c>
    </row>
    <row r="183" spans="4:13" ht="25.5" x14ac:dyDescent="0.2">
      <c r="D183" s="31" t="s">
        <v>84</v>
      </c>
      <c r="E183" s="53" t="s">
        <v>54</v>
      </c>
      <c r="K183" s="185">
        <v>0.23</v>
      </c>
      <c r="L183" s="31" t="s">
        <v>916</v>
      </c>
      <c r="M183" s="36" t="s">
        <v>917</v>
      </c>
    </row>
    <row r="184" spans="4:13" ht="25.5" x14ac:dyDescent="0.2">
      <c r="D184" s="31" t="s">
        <v>85</v>
      </c>
      <c r="E184" s="53" t="s">
        <v>54</v>
      </c>
      <c r="F184" s="82">
        <f>G184</f>
        <v>0</v>
      </c>
      <c r="G184" s="184">
        <v>0</v>
      </c>
      <c r="H184" s="82">
        <f>G184</f>
        <v>0</v>
      </c>
      <c r="I184" s="82">
        <f>G184</f>
        <v>0</v>
      </c>
      <c r="J184" s="82">
        <f>G184</f>
        <v>0</v>
      </c>
      <c r="K184" s="82">
        <f>Inputs!G184</f>
        <v>0</v>
      </c>
      <c r="L184" s="31" t="s">
        <v>36</v>
      </c>
      <c r="M184" s="36" t="s">
        <v>2249</v>
      </c>
    </row>
    <row r="185" spans="4:13" x14ac:dyDescent="0.2">
      <c r="D185" s="31" t="s">
        <v>86</v>
      </c>
      <c r="E185" s="53" t="s">
        <v>54</v>
      </c>
      <c r="F185" s="82">
        <f>G185</f>
        <v>3.5000000000000003E-2</v>
      </c>
      <c r="G185" s="184">
        <v>3.5000000000000003E-2</v>
      </c>
      <c r="H185" s="82">
        <f>G185</f>
        <v>3.5000000000000003E-2</v>
      </c>
      <c r="I185" s="82">
        <f>G185</f>
        <v>3.5000000000000003E-2</v>
      </c>
      <c r="J185" s="82">
        <f>G185</f>
        <v>3.5000000000000003E-2</v>
      </c>
      <c r="K185" s="82">
        <f>Inputs!G185</f>
        <v>3.5000000000000003E-2</v>
      </c>
      <c r="L185" s="31" t="s">
        <v>35</v>
      </c>
      <c r="M185" s="31" t="s">
        <v>2026</v>
      </c>
    </row>
    <row r="186" spans="4:13" ht="25.5" x14ac:dyDescent="0.2">
      <c r="D186" s="31" t="s">
        <v>1863</v>
      </c>
      <c r="E186" s="53" t="s">
        <v>54</v>
      </c>
      <c r="K186" s="81">
        <f>DCF!$E$10</f>
        <v>9.69E-2</v>
      </c>
      <c r="L186" s="31" t="s">
        <v>2153</v>
      </c>
      <c r="M186" s="36" t="s">
        <v>2179</v>
      </c>
    </row>
    <row r="187" spans="4:13" ht="25.5" x14ac:dyDescent="0.2">
      <c r="D187" s="31" t="s">
        <v>1111</v>
      </c>
      <c r="E187" s="53" t="s">
        <v>59</v>
      </c>
      <c r="K187" s="174">
        <v>5</v>
      </c>
      <c r="L187" s="31" t="s">
        <v>35</v>
      </c>
      <c r="M187" s="36" t="s">
        <v>1864</v>
      </c>
    </row>
    <row r="188" spans="4:13" ht="25.5" x14ac:dyDescent="0.2">
      <c r="D188" s="31" t="s">
        <v>87</v>
      </c>
      <c r="E188" s="53" t="s">
        <v>54</v>
      </c>
      <c r="F188" s="82">
        <f>G188</f>
        <v>0</v>
      </c>
      <c r="G188" s="184">
        <v>0</v>
      </c>
      <c r="H188" s="82">
        <f>G188</f>
        <v>0</v>
      </c>
      <c r="I188" s="82">
        <f>G188</f>
        <v>0</v>
      </c>
      <c r="J188" s="82">
        <f>G188</f>
        <v>0</v>
      </c>
      <c r="K188" s="82">
        <f>Inputs!G188</f>
        <v>0</v>
      </c>
      <c r="L188" s="31" t="s">
        <v>2153</v>
      </c>
      <c r="M188" s="36" t="s">
        <v>2257</v>
      </c>
    </row>
    <row r="189" spans="4:13" ht="25.5" x14ac:dyDescent="0.2">
      <c r="D189" s="31" t="s">
        <v>88</v>
      </c>
      <c r="E189" s="53" t="s">
        <v>54</v>
      </c>
      <c r="K189" s="185">
        <v>0.5</v>
      </c>
      <c r="L189" s="31" t="s">
        <v>35</v>
      </c>
      <c r="M189" s="36" t="s">
        <v>913</v>
      </c>
    </row>
    <row r="190" spans="4:13" x14ac:dyDescent="0.2">
      <c r="D190" s="31" t="s">
        <v>914</v>
      </c>
      <c r="E190" s="53" t="s">
        <v>54</v>
      </c>
      <c r="K190" s="185">
        <v>0.2</v>
      </c>
      <c r="L190" s="31" t="s">
        <v>36</v>
      </c>
      <c r="M190" s="31" t="s">
        <v>915</v>
      </c>
    </row>
    <row r="191" spans="4:13" ht="25.5" x14ac:dyDescent="0.2">
      <c r="D191" s="31" t="s">
        <v>963</v>
      </c>
      <c r="E191" s="53" t="s">
        <v>54</v>
      </c>
      <c r="K191" s="185">
        <v>0.1019</v>
      </c>
      <c r="L191" s="31" t="s">
        <v>964</v>
      </c>
      <c r="M191" s="36" t="s">
        <v>2251</v>
      </c>
    </row>
    <row r="192" spans="4:13" ht="38.25" x14ac:dyDescent="0.2">
      <c r="D192" s="31" t="s">
        <v>1834</v>
      </c>
      <c r="E192" s="31" t="s">
        <v>47</v>
      </c>
      <c r="K192" s="293">
        <v>3</v>
      </c>
      <c r="L192" s="36" t="s">
        <v>2180</v>
      </c>
      <c r="M192" s="36" t="s">
        <v>1835</v>
      </c>
    </row>
    <row r="193" spans="2:13" x14ac:dyDescent="0.2">
      <c r="D193" s="31" t="s">
        <v>1836</v>
      </c>
      <c r="E193" s="31" t="s">
        <v>47</v>
      </c>
      <c r="K193" s="293">
        <v>2</v>
      </c>
      <c r="L193" s="31" t="s">
        <v>2166</v>
      </c>
      <c r="M193" s="31" t="s">
        <v>1959</v>
      </c>
    </row>
    <row r="194" spans="2:13" x14ac:dyDescent="0.2">
      <c r="D194" s="31" t="s">
        <v>1837</v>
      </c>
      <c r="E194" s="31" t="s">
        <v>47</v>
      </c>
      <c r="K194" s="293">
        <v>4</v>
      </c>
      <c r="L194" s="31" t="s">
        <v>2166</v>
      </c>
      <c r="M194" s="31"/>
    </row>
    <row r="195" spans="2:13" ht="25.5" x14ac:dyDescent="0.2">
      <c r="D195" s="31" t="s">
        <v>1860</v>
      </c>
      <c r="E195" s="31" t="s">
        <v>54</v>
      </c>
      <c r="K195" s="282">
        <v>0.2</v>
      </c>
      <c r="L195" s="31" t="s">
        <v>1717</v>
      </c>
      <c r="M195" s="36" t="s">
        <v>2247</v>
      </c>
    </row>
    <row r="196" spans="2:13" ht="25.5" x14ac:dyDescent="0.2">
      <c r="D196" s="36" t="s">
        <v>1861</v>
      </c>
      <c r="E196" s="31" t="s">
        <v>59</v>
      </c>
      <c r="K196" s="272">
        <v>10</v>
      </c>
      <c r="L196" s="31" t="s">
        <v>1717</v>
      </c>
      <c r="M196" s="36" t="s">
        <v>1862</v>
      </c>
    </row>
    <row r="197" spans="2:13" x14ac:dyDescent="0.2">
      <c r="D197" s="31" t="s">
        <v>1453</v>
      </c>
      <c r="E197" s="31" t="s">
        <v>54</v>
      </c>
      <c r="K197" s="288">
        <v>0.22</v>
      </c>
      <c r="L197" s="31" t="s">
        <v>1454</v>
      </c>
      <c r="M197" s="36" t="s">
        <v>2248</v>
      </c>
    </row>
    <row r="199" spans="2:13" x14ac:dyDescent="0.2">
      <c r="B199" s="5" t="s">
        <v>8</v>
      </c>
      <c r="C199" s="5" t="s">
        <v>8</v>
      </c>
      <c r="D199" s="25" t="s">
        <v>1921</v>
      </c>
      <c r="E199" s="26"/>
      <c r="F199" s="26"/>
      <c r="G199" s="26"/>
      <c r="H199" s="26"/>
      <c r="I199" s="26"/>
      <c r="J199" s="26"/>
      <c r="K199" s="26"/>
      <c r="L199" s="26"/>
      <c r="M199" s="26"/>
    </row>
    <row r="200" spans="2:13" ht="38.25" x14ac:dyDescent="0.2">
      <c r="D200" s="45" t="s">
        <v>1420</v>
      </c>
      <c r="E200" s="23" t="s">
        <v>54</v>
      </c>
      <c r="K200" s="260">
        <v>0.20702300000000001</v>
      </c>
      <c r="L200" s="45" t="s">
        <v>2253</v>
      </c>
      <c r="M200" s="45" t="s">
        <v>2181</v>
      </c>
    </row>
    <row r="201" spans="2:13" ht="25.5" x14ac:dyDescent="0.2">
      <c r="D201" s="45" t="s">
        <v>1127</v>
      </c>
      <c r="E201" s="23" t="s">
        <v>51</v>
      </c>
      <c r="K201" s="291">
        <f>Model!$F$99</f>
        <v>1415.584379662298</v>
      </c>
      <c r="L201" s="23" t="s">
        <v>34</v>
      </c>
    </row>
    <row r="202" spans="2:13" x14ac:dyDescent="0.2">
      <c r="D202" s="23" t="s">
        <v>1417</v>
      </c>
      <c r="E202" s="23" t="s">
        <v>827</v>
      </c>
      <c r="K202" s="272">
        <v>2028</v>
      </c>
      <c r="L202" s="23" t="s">
        <v>2153</v>
      </c>
      <c r="M202" s="23" t="s">
        <v>1418</v>
      </c>
    </row>
    <row r="203" spans="2:13" x14ac:dyDescent="0.2">
      <c r="D203" s="23" t="s">
        <v>1419</v>
      </c>
      <c r="E203" s="23" t="s">
        <v>827</v>
      </c>
      <c r="K203" s="272">
        <v>2036</v>
      </c>
      <c r="L203" s="23" t="s">
        <v>35</v>
      </c>
      <c r="M203" s="23" t="s">
        <v>1451</v>
      </c>
    </row>
    <row r="204" spans="2:13" ht="25.5" x14ac:dyDescent="0.2">
      <c r="D204" s="45" t="s">
        <v>1449</v>
      </c>
      <c r="E204" s="23" t="s">
        <v>1249</v>
      </c>
      <c r="K204" s="294">
        <v>0.1</v>
      </c>
      <c r="L204" s="23" t="s">
        <v>35</v>
      </c>
      <c r="M204" s="45" t="s">
        <v>1450</v>
      </c>
    </row>
    <row r="206" spans="2:13" x14ac:dyDescent="0.2">
      <c r="B206" s="5" t="s">
        <v>8</v>
      </c>
      <c r="C206" s="5" t="s">
        <v>8</v>
      </c>
      <c r="D206" s="25" t="s">
        <v>1922</v>
      </c>
      <c r="E206" s="26"/>
      <c r="F206" s="26"/>
      <c r="G206" s="26"/>
      <c r="H206" s="26"/>
      <c r="I206" s="26"/>
      <c r="J206" s="26"/>
      <c r="K206" s="26"/>
      <c r="L206" s="26"/>
      <c r="M206" s="26"/>
    </row>
    <row r="207" spans="2:13" ht="25.5" x14ac:dyDescent="0.2">
      <c r="D207" s="31" t="s">
        <v>89</v>
      </c>
      <c r="E207" s="53" t="s">
        <v>51</v>
      </c>
      <c r="K207" s="189">
        <v>8.1999999999999993</v>
      </c>
      <c r="L207" s="31" t="s">
        <v>90</v>
      </c>
      <c r="M207" s="36" t="s">
        <v>91</v>
      </c>
    </row>
    <row r="208" spans="2:13" ht="25.5" x14ac:dyDescent="0.2">
      <c r="D208" s="31" t="s">
        <v>92</v>
      </c>
      <c r="E208" s="53" t="s">
        <v>51</v>
      </c>
      <c r="K208" s="189">
        <v>4.2</v>
      </c>
      <c r="L208" s="31" t="s">
        <v>90</v>
      </c>
      <c r="M208" s="36" t="s">
        <v>93</v>
      </c>
    </row>
    <row r="209" spans="4:13" x14ac:dyDescent="0.2">
      <c r="D209" s="31" t="s">
        <v>94</v>
      </c>
      <c r="E209" s="53" t="s">
        <v>51</v>
      </c>
      <c r="K209" s="189">
        <v>0.65600000000000003</v>
      </c>
      <c r="L209" s="31" t="s">
        <v>90</v>
      </c>
      <c r="M209" s="31" t="s">
        <v>95</v>
      </c>
    </row>
    <row r="210" spans="4:13" x14ac:dyDescent="0.2">
      <c r="D210" s="31" t="s">
        <v>96</v>
      </c>
      <c r="E210" s="53" t="s">
        <v>51</v>
      </c>
      <c r="K210" s="189">
        <v>0.34300000000000003</v>
      </c>
      <c r="L210" s="31" t="s">
        <v>90</v>
      </c>
      <c r="M210" s="31" t="s">
        <v>97</v>
      </c>
    </row>
    <row r="211" spans="4:13" x14ac:dyDescent="0.2">
      <c r="D211" s="31" t="s">
        <v>98</v>
      </c>
      <c r="E211" s="53" t="s">
        <v>51</v>
      </c>
      <c r="K211" s="183">
        <f>K209+K210</f>
        <v>0.99900000000000011</v>
      </c>
      <c r="L211" s="31" t="s">
        <v>34</v>
      </c>
      <c r="M211" s="31" t="s">
        <v>99</v>
      </c>
    </row>
    <row r="212" spans="4:13" ht="25.5" x14ac:dyDescent="0.2">
      <c r="D212" s="31" t="s">
        <v>100</v>
      </c>
      <c r="E212" s="53" t="s">
        <v>54</v>
      </c>
      <c r="K212" s="185">
        <v>0.75</v>
      </c>
      <c r="L212" s="36" t="s">
        <v>101</v>
      </c>
      <c r="M212" s="31" t="s">
        <v>102</v>
      </c>
    </row>
    <row r="213" spans="4:13" ht="25.5" x14ac:dyDescent="0.2">
      <c r="D213" s="31" t="s">
        <v>1040</v>
      </c>
      <c r="E213" s="53" t="s">
        <v>51</v>
      </c>
      <c r="K213" s="189">
        <v>4.0810000000000004</v>
      </c>
      <c r="L213" s="31" t="s">
        <v>1003</v>
      </c>
      <c r="M213" s="36" t="s">
        <v>104</v>
      </c>
    </row>
    <row r="214" spans="4:13" x14ac:dyDescent="0.2">
      <c r="D214" s="31" t="s">
        <v>1004</v>
      </c>
      <c r="E214" s="53" t="s">
        <v>51</v>
      </c>
      <c r="K214" s="183">
        <f>Historicals!J17/MperB</f>
        <v>2.359</v>
      </c>
      <c r="L214" s="31" t="s">
        <v>1056</v>
      </c>
      <c r="M214" s="31"/>
    </row>
    <row r="215" spans="4:13" x14ac:dyDescent="0.2">
      <c r="D215" s="31" t="s">
        <v>1005</v>
      </c>
      <c r="E215" s="53" t="s">
        <v>51</v>
      </c>
      <c r="K215" s="189">
        <v>7.5</v>
      </c>
      <c r="L215" s="31" t="s">
        <v>1062</v>
      </c>
      <c r="M215" s="31" t="s">
        <v>106</v>
      </c>
    </row>
    <row r="216" spans="4:13" ht="38.25" x14ac:dyDescent="0.2">
      <c r="D216" s="31" t="s">
        <v>107</v>
      </c>
      <c r="E216" s="53" t="s">
        <v>54</v>
      </c>
      <c r="K216" s="185">
        <v>0.75</v>
      </c>
      <c r="L216" s="31" t="s">
        <v>35</v>
      </c>
      <c r="M216" s="36" t="s">
        <v>2258</v>
      </c>
    </row>
    <row r="217" spans="4:13" x14ac:dyDescent="0.2">
      <c r="D217" s="31" t="s">
        <v>1006</v>
      </c>
      <c r="E217" s="53" t="s">
        <v>51</v>
      </c>
      <c r="K217" s="183">
        <f>K213+K214-K215*K216</f>
        <v>0.81500000000000039</v>
      </c>
      <c r="L217" s="31" t="s">
        <v>34</v>
      </c>
      <c r="M217" s="31" t="s">
        <v>108</v>
      </c>
    </row>
    <row r="218" spans="4:13" x14ac:dyDescent="0.2">
      <c r="D218" s="31" t="s">
        <v>109</v>
      </c>
      <c r="E218" s="53" t="s">
        <v>54</v>
      </c>
      <c r="K218" s="185">
        <v>0.8</v>
      </c>
      <c r="L218" s="31" t="s">
        <v>110</v>
      </c>
      <c r="M218" s="31" t="s">
        <v>111</v>
      </c>
    </row>
    <row r="219" spans="4:13" ht="25.5" x14ac:dyDescent="0.2">
      <c r="D219" s="31" t="s">
        <v>1007</v>
      </c>
      <c r="E219" s="53" t="s">
        <v>51</v>
      </c>
      <c r="K219" s="183">
        <f>K207+MAX(0,-K217)-MIN(K207,K218*MAX(K217,0))</f>
        <v>7.5479999999999992</v>
      </c>
      <c r="L219" s="31" t="s">
        <v>34</v>
      </c>
      <c r="M219" s="36" t="s">
        <v>112</v>
      </c>
    </row>
    <row r="220" spans="4:13" x14ac:dyDescent="0.2">
      <c r="D220" s="31" t="s">
        <v>115</v>
      </c>
      <c r="E220" s="53" t="s">
        <v>54</v>
      </c>
      <c r="K220" s="295">
        <f>DCF!E7</f>
        <v>9.69E-2</v>
      </c>
      <c r="L220" s="31" t="s">
        <v>34</v>
      </c>
      <c r="M220" s="31" t="s">
        <v>116</v>
      </c>
    </row>
    <row r="221" spans="4:13" x14ac:dyDescent="0.2">
      <c r="D221" s="31" t="s">
        <v>117</v>
      </c>
      <c r="E221" s="53" t="s">
        <v>59</v>
      </c>
      <c r="K221" s="174">
        <v>5</v>
      </c>
      <c r="L221" s="31" t="s">
        <v>35</v>
      </c>
      <c r="M221" s="36" t="s">
        <v>118</v>
      </c>
    </row>
    <row r="222" spans="4:13" ht="38.25" x14ac:dyDescent="0.2">
      <c r="D222" s="31" t="s">
        <v>119</v>
      </c>
      <c r="E222" s="53" t="s">
        <v>54</v>
      </c>
      <c r="K222" s="190">
        <v>0.35</v>
      </c>
      <c r="L222" s="31" t="s">
        <v>35</v>
      </c>
      <c r="M222" s="36" t="s">
        <v>120</v>
      </c>
    </row>
    <row r="223" spans="4:13" x14ac:dyDescent="0.2">
      <c r="D223" s="31" t="s">
        <v>867</v>
      </c>
      <c r="E223" s="53" t="s">
        <v>833</v>
      </c>
      <c r="K223" s="272">
        <v>3</v>
      </c>
      <c r="L223" s="31" t="s">
        <v>35</v>
      </c>
      <c r="M223" s="36" t="s">
        <v>868</v>
      </c>
    </row>
    <row r="224" spans="4:13" x14ac:dyDescent="0.2">
      <c r="D224" s="31" t="s">
        <v>869</v>
      </c>
      <c r="E224" s="53" t="s">
        <v>833</v>
      </c>
      <c r="K224" s="272">
        <v>4</v>
      </c>
      <c r="L224" s="31" t="s">
        <v>369</v>
      </c>
      <c r="M224" s="36" t="s">
        <v>870</v>
      </c>
    </row>
    <row r="225" spans="2:13" x14ac:dyDescent="0.2">
      <c r="D225" s="31" t="s">
        <v>871</v>
      </c>
      <c r="E225" s="53" t="s">
        <v>827</v>
      </c>
      <c r="K225" s="294">
        <v>2026.75</v>
      </c>
      <c r="L225" s="31" t="s">
        <v>872</v>
      </c>
      <c r="M225" s="36" t="s">
        <v>873</v>
      </c>
    </row>
    <row r="227" spans="2:13" x14ac:dyDescent="0.2">
      <c r="B227" s="5" t="s">
        <v>8</v>
      </c>
      <c r="C227" s="5" t="s">
        <v>8</v>
      </c>
      <c r="D227" s="25" t="s">
        <v>1923</v>
      </c>
      <c r="E227" s="26"/>
      <c r="F227" s="26"/>
      <c r="G227" s="26"/>
      <c r="H227" s="26"/>
      <c r="I227" s="26"/>
      <c r="J227" s="26"/>
      <c r="K227" s="26"/>
      <c r="L227" s="26"/>
      <c r="M227" s="26"/>
    </row>
    <row r="228" spans="2:13" x14ac:dyDescent="0.2">
      <c r="D228" s="31" t="s">
        <v>1008</v>
      </c>
      <c r="E228" s="53" t="s">
        <v>51</v>
      </c>
      <c r="K228" s="183">
        <f>Historicals!H60/MperB</f>
        <v>95.561999999999998</v>
      </c>
      <c r="L228" s="31" t="s">
        <v>1009</v>
      </c>
      <c r="M228" s="31"/>
    </row>
    <row r="229" spans="2:13" x14ac:dyDescent="0.2">
      <c r="D229" s="31" t="s">
        <v>1010</v>
      </c>
      <c r="E229" s="53" t="s">
        <v>51</v>
      </c>
      <c r="K229" s="183">
        <f>Historicals!H61/MperB</f>
        <v>36.283000000000001</v>
      </c>
      <c r="L229" s="31" t="s">
        <v>1009</v>
      </c>
      <c r="M229" s="31"/>
    </row>
    <row r="230" spans="2:13" x14ac:dyDescent="0.2">
      <c r="D230" s="31" t="s">
        <v>1011</v>
      </c>
      <c r="E230" s="53" t="s">
        <v>51</v>
      </c>
      <c r="K230" s="183">
        <f>Historicals!H62/MperB</f>
        <v>2.54</v>
      </c>
      <c r="L230" s="31" t="s">
        <v>1009</v>
      </c>
      <c r="M230" s="31" t="s">
        <v>1085</v>
      </c>
    </row>
    <row r="231" spans="2:13" x14ac:dyDescent="0.2">
      <c r="D231" s="31" t="s">
        <v>122</v>
      </c>
      <c r="E231" s="53" t="s">
        <v>113</v>
      </c>
      <c r="K231" s="174">
        <v>1</v>
      </c>
      <c r="L231" s="31" t="s">
        <v>36</v>
      </c>
      <c r="M231" s="36" t="s">
        <v>123</v>
      </c>
    </row>
    <row r="232" spans="2:13" ht="25.5" x14ac:dyDescent="0.2">
      <c r="D232" s="31" t="s">
        <v>124</v>
      </c>
      <c r="E232" s="53" t="s">
        <v>51</v>
      </c>
      <c r="K232" s="189">
        <v>0</v>
      </c>
      <c r="L232" s="31" t="s">
        <v>125</v>
      </c>
      <c r="M232" s="36" t="s">
        <v>126</v>
      </c>
    </row>
    <row r="233" spans="2:13" ht="25.5" x14ac:dyDescent="0.2">
      <c r="D233" s="31" t="s">
        <v>127</v>
      </c>
      <c r="E233" s="53" t="s">
        <v>51</v>
      </c>
      <c r="K233" s="189">
        <v>0</v>
      </c>
      <c r="L233" s="31" t="s">
        <v>36</v>
      </c>
      <c r="M233" s="36" t="s">
        <v>128</v>
      </c>
    </row>
    <row r="234" spans="2:13" ht="38.25" x14ac:dyDescent="0.2">
      <c r="D234" s="31" t="s">
        <v>129</v>
      </c>
      <c r="E234" s="53" t="s">
        <v>54</v>
      </c>
      <c r="K234" s="190">
        <v>0</v>
      </c>
      <c r="L234" s="31" t="s">
        <v>130</v>
      </c>
      <c r="M234" s="36" t="s">
        <v>918</v>
      </c>
    </row>
    <row r="235" spans="2:13" x14ac:dyDescent="0.2">
      <c r="D235" s="31" t="s">
        <v>874</v>
      </c>
      <c r="E235" s="53" t="s">
        <v>54</v>
      </c>
      <c r="K235" s="60">
        <v>0.1</v>
      </c>
      <c r="L235" s="31" t="s">
        <v>919</v>
      </c>
      <c r="M235" s="36" t="s">
        <v>875</v>
      </c>
    </row>
    <row r="236" spans="2:13" x14ac:dyDescent="0.2">
      <c r="D236" s="31" t="s">
        <v>131</v>
      </c>
      <c r="E236" s="53" t="s">
        <v>54</v>
      </c>
      <c r="K236" s="82">
        <f>Historicals!Q17*QperY/Historicals!H71</f>
        <v>3.7862641738404944E-2</v>
      </c>
      <c r="L236" s="31" t="s">
        <v>1063</v>
      </c>
      <c r="M236" s="31" t="s">
        <v>1012</v>
      </c>
    </row>
    <row r="237" spans="2:13" x14ac:dyDescent="0.2">
      <c r="D237" s="31" t="s">
        <v>1013</v>
      </c>
      <c r="E237" s="53" t="s">
        <v>51</v>
      </c>
      <c r="K237" s="189">
        <v>0.45</v>
      </c>
      <c r="L237" s="31" t="s">
        <v>1014</v>
      </c>
      <c r="M237" s="36" t="s">
        <v>1015</v>
      </c>
    </row>
    <row r="238" spans="2:13" ht="25.5" x14ac:dyDescent="0.2">
      <c r="D238" s="31" t="s">
        <v>132</v>
      </c>
      <c r="E238" s="53" t="s">
        <v>59</v>
      </c>
      <c r="F238" s="21">
        <f>Inputs!F$25</f>
        <v>0</v>
      </c>
      <c r="G238" s="125">
        <f>Inputs!G$25</f>
        <v>1</v>
      </c>
      <c r="H238" s="21">
        <f>Inputs!H$25</f>
        <v>2</v>
      </c>
      <c r="K238" s="180">
        <f>Inputs!$K$25</f>
        <v>1</v>
      </c>
      <c r="L238" s="31" t="s">
        <v>1960</v>
      </c>
      <c r="M238" s="36" t="s">
        <v>2118</v>
      </c>
    </row>
    <row r="239" spans="2:13" ht="38.25" x14ac:dyDescent="0.2">
      <c r="D239" s="31" t="s">
        <v>134</v>
      </c>
      <c r="E239" s="53" t="s">
        <v>54</v>
      </c>
      <c r="K239" s="185">
        <v>0.5</v>
      </c>
      <c r="L239" s="31" t="s">
        <v>135</v>
      </c>
      <c r="M239" s="36" t="s">
        <v>2259</v>
      </c>
    </row>
    <row r="240" spans="2:13" x14ac:dyDescent="0.2">
      <c r="D240" s="31" t="s">
        <v>136</v>
      </c>
      <c r="E240" s="53" t="s">
        <v>51</v>
      </c>
      <c r="K240" s="189">
        <v>5</v>
      </c>
      <c r="L240" s="31" t="s">
        <v>137</v>
      </c>
      <c r="M240" s="31" t="s">
        <v>138</v>
      </c>
    </row>
    <row r="242" spans="2:13" x14ac:dyDescent="0.2">
      <c r="B242" s="5" t="s">
        <v>8</v>
      </c>
      <c r="C242" s="5" t="s">
        <v>8</v>
      </c>
      <c r="D242" s="25" t="s">
        <v>1924</v>
      </c>
      <c r="E242" s="26"/>
      <c r="F242" s="26"/>
      <c r="G242" s="26"/>
      <c r="H242" s="26"/>
      <c r="I242" s="26"/>
      <c r="J242" s="26"/>
      <c r="K242" s="26"/>
      <c r="L242" s="26"/>
      <c r="M242" s="26"/>
    </row>
    <row r="243" spans="2:13" x14ac:dyDescent="0.2">
      <c r="D243" s="31" t="s">
        <v>139</v>
      </c>
      <c r="E243" s="53" t="s">
        <v>51</v>
      </c>
      <c r="K243" s="189">
        <v>8.1999999999999993</v>
      </c>
      <c r="L243" s="31" t="s">
        <v>1064</v>
      </c>
      <c r="M243" s="31" t="s">
        <v>1032</v>
      </c>
    </row>
    <row r="244" spans="2:13" x14ac:dyDescent="0.2">
      <c r="D244" s="31" t="s">
        <v>140</v>
      </c>
      <c r="E244" s="53" t="s">
        <v>51</v>
      </c>
      <c r="K244" s="189">
        <v>24.1</v>
      </c>
      <c r="L244" s="31" t="s">
        <v>1064</v>
      </c>
      <c r="M244" s="31" t="s">
        <v>1033</v>
      </c>
    </row>
    <row r="245" spans="2:13" x14ac:dyDescent="0.2">
      <c r="D245" s="31" t="s">
        <v>975</v>
      </c>
      <c r="E245" s="53" t="s">
        <v>54</v>
      </c>
      <c r="K245" s="185">
        <v>0.12</v>
      </c>
      <c r="L245" s="31" t="s">
        <v>35</v>
      </c>
      <c r="M245" s="31"/>
    </row>
    <row r="246" spans="2:13" x14ac:dyDescent="0.2">
      <c r="D246" s="31" t="s">
        <v>141</v>
      </c>
      <c r="E246" s="53" t="s">
        <v>54</v>
      </c>
      <c r="K246" s="185">
        <v>0.5</v>
      </c>
      <c r="L246" s="31" t="s">
        <v>35</v>
      </c>
      <c r="M246" s="31"/>
    </row>
    <row r="247" spans="2:13" x14ac:dyDescent="0.2">
      <c r="D247" s="31" t="s">
        <v>142</v>
      </c>
      <c r="E247" s="53" t="s">
        <v>54</v>
      </c>
      <c r="K247" s="185">
        <v>0.28000000000000003</v>
      </c>
      <c r="L247" s="31" t="s">
        <v>35</v>
      </c>
      <c r="M247" s="31"/>
    </row>
    <row r="248" spans="2:13" x14ac:dyDescent="0.2">
      <c r="D248" s="31" t="s">
        <v>143</v>
      </c>
      <c r="E248" s="53" t="s">
        <v>54</v>
      </c>
      <c r="K248" s="82">
        <f>1-K245-K246-K247</f>
        <v>9.9999999999999978E-2</v>
      </c>
      <c r="L248" s="31" t="s">
        <v>34</v>
      </c>
      <c r="M248" s="31" t="s">
        <v>144</v>
      </c>
    </row>
    <row r="249" spans="2:13" x14ac:dyDescent="0.2">
      <c r="D249" s="31" t="s">
        <v>1016</v>
      </c>
      <c r="E249" s="53" t="s">
        <v>51</v>
      </c>
      <c r="K249" s="189">
        <v>0</v>
      </c>
      <c r="L249" s="31" t="s">
        <v>35</v>
      </c>
      <c r="M249" s="31" t="s">
        <v>1017</v>
      </c>
    </row>
    <row r="251" spans="2:13" x14ac:dyDescent="0.2">
      <c r="B251" s="5" t="s">
        <v>8</v>
      </c>
      <c r="C251" s="5" t="s">
        <v>8</v>
      </c>
      <c r="D251" s="25" t="s">
        <v>1925</v>
      </c>
      <c r="E251" s="26"/>
      <c r="F251" s="26"/>
      <c r="G251" s="26"/>
      <c r="H251" s="26"/>
      <c r="I251" s="26"/>
      <c r="J251" s="26"/>
      <c r="K251" s="26"/>
      <c r="L251" s="26"/>
      <c r="M251" s="26"/>
    </row>
    <row r="252" spans="2:13" x14ac:dyDescent="0.2">
      <c r="D252" s="31" t="s">
        <v>1957</v>
      </c>
      <c r="E252" s="53" t="s">
        <v>54</v>
      </c>
      <c r="K252" s="185">
        <v>2.5000000000000001E-2</v>
      </c>
      <c r="L252" s="31" t="s">
        <v>36</v>
      </c>
      <c r="M252" s="31" t="s">
        <v>2250</v>
      </c>
    </row>
    <row r="253" spans="2:13" x14ac:dyDescent="0.2">
      <c r="D253" s="31" t="s">
        <v>146</v>
      </c>
      <c r="E253" s="53" t="s">
        <v>54</v>
      </c>
      <c r="K253" s="185">
        <v>0.05</v>
      </c>
      <c r="L253" s="31" t="s">
        <v>36</v>
      </c>
      <c r="M253" s="31" t="s">
        <v>147</v>
      </c>
    </row>
    <row r="254" spans="2:13" x14ac:dyDescent="0.2">
      <c r="D254" s="31" t="s">
        <v>148</v>
      </c>
      <c r="E254" s="53" t="s">
        <v>54</v>
      </c>
      <c r="K254" s="185">
        <v>0.01</v>
      </c>
      <c r="L254" s="31" t="s">
        <v>36</v>
      </c>
      <c r="M254" s="31"/>
    </row>
    <row r="255" spans="2:13" x14ac:dyDescent="0.2">
      <c r="D255" s="31" t="s">
        <v>149</v>
      </c>
      <c r="E255" s="53" t="s">
        <v>54</v>
      </c>
      <c r="K255" s="185">
        <v>5.0000000000000001E-3</v>
      </c>
      <c r="L255" s="31" t="s">
        <v>36</v>
      </c>
      <c r="M255" s="31"/>
    </row>
    <row r="256" spans="2:13" x14ac:dyDescent="0.2">
      <c r="D256" s="31" t="s">
        <v>150</v>
      </c>
      <c r="E256" s="53" t="s">
        <v>51</v>
      </c>
      <c r="K256" s="174">
        <v>1500</v>
      </c>
      <c r="L256" s="31" t="s">
        <v>151</v>
      </c>
      <c r="M256" s="31" t="s">
        <v>152</v>
      </c>
    </row>
    <row r="257" spans="2:13" x14ac:dyDescent="0.2">
      <c r="D257" s="31" t="s">
        <v>153</v>
      </c>
      <c r="E257" s="53" t="s">
        <v>51</v>
      </c>
      <c r="K257" s="174">
        <v>2000</v>
      </c>
      <c r="L257" s="31" t="s">
        <v>151</v>
      </c>
      <c r="M257" s="31"/>
    </row>
    <row r="259" spans="2:13" x14ac:dyDescent="0.2">
      <c r="B259" s="5" t="s">
        <v>8</v>
      </c>
      <c r="C259" s="5" t="s">
        <v>8</v>
      </c>
      <c r="D259" s="25" t="s">
        <v>1926</v>
      </c>
      <c r="E259" s="26"/>
      <c r="F259" s="26"/>
      <c r="G259" s="26"/>
      <c r="H259" s="26"/>
      <c r="I259" s="26"/>
      <c r="J259" s="26"/>
      <c r="K259" s="26"/>
      <c r="L259" s="26"/>
      <c r="M259" s="26"/>
    </row>
    <row r="260" spans="2:13" x14ac:dyDescent="0.2">
      <c r="D260" s="31" t="s">
        <v>819</v>
      </c>
      <c r="E260" s="53" t="s">
        <v>59</v>
      </c>
      <c r="K260" s="51">
        <v>1000</v>
      </c>
      <c r="L260" s="31" t="s">
        <v>820</v>
      </c>
      <c r="M260" s="36" t="s">
        <v>821</v>
      </c>
    </row>
    <row r="261" spans="2:13" x14ac:dyDescent="0.2">
      <c r="D261" s="31" t="s">
        <v>822</v>
      </c>
      <c r="E261" s="53" t="s">
        <v>59</v>
      </c>
      <c r="K261" s="51">
        <v>4</v>
      </c>
      <c r="L261" s="31" t="s">
        <v>820</v>
      </c>
      <c r="M261" s="36" t="s">
        <v>823</v>
      </c>
    </row>
    <row r="262" spans="2:13" x14ac:dyDescent="0.2">
      <c r="D262" s="31" t="s">
        <v>824</v>
      </c>
      <c r="E262" s="53" t="s">
        <v>59</v>
      </c>
      <c r="K262" s="51">
        <v>12</v>
      </c>
      <c r="L262" s="31" t="s">
        <v>820</v>
      </c>
      <c r="M262" s="36" t="s">
        <v>825</v>
      </c>
    </row>
    <row r="263" spans="2:13" x14ac:dyDescent="0.2">
      <c r="D263" s="31" t="s">
        <v>826</v>
      </c>
      <c r="E263" s="53" t="s">
        <v>827</v>
      </c>
      <c r="K263" s="296">
        <v>2027</v>
      </c>
      <c r="L263" s="31" t="s">
        <v>36</v>
      </c>
      <c r="M263" s="36" t="s">
        <v>828</v>
      </c>
    </row>
    <row r="264" spans="2:13" x14ac:dyDescent="0.2">
      <c r="D264" s="31" t="s">
        <v>829</v>
      </c>
      <c r="E264" s="53" t="s">
        <v>827</v>
      </c>
      <c r="K264" s="296">
        <v>2026.88</v>
      </c>
      <c r="L264" s="36" t="s">
        <v>902</v>
      </c>
      <c r="M264" s="36" t="s">
        <v>830</v>
      </c>
    </row>
    <row r="265" spans="2:13" x14ac:dyDescent="0.2">
      <c r="D265" s="31" t="s">
        <v>965</v>
      </c>
      <c r="E265" s="53" t="s">
        <v>827</v>
      </c>
      <c r="K265" s="272">
        <v>2026</v>
      </c>
      <c r="L265" s="31" t="s">
        <v>820</v>
      </c>
      <c r="M265" s="36" t="s">
        <v>831</v>
      </c>
    </row>
    <row r="266" spans="2:13" x14ac:dyDescent="0.2">
      <c r="D266" s="31" t="s">
        <v>832</v>
      </c>
      <c r="E266" s="53" t="s">
        <v>833</v>
      </c>
      <c r="K266" s="296">
        <v>0.5</v>
      </c>
      <c r="L266" s="31" t="s">
        <v>820</v>
      </c>
      <c r="M266" s="36" t="s">
        <v>834</v>
      </c>
    </row>
    <row r="267" spans="2:13" x14ac:dyDescent="0.2">
      <c r="D267" s="31" t="s">
        <v>835</v>
      </c>
      <c r="E267" s="53" t="s">
        <v>833</v>
      </c>
      <c r="K267" s="272">
        <v>5</v>
      </c>
      <c r="L267" s="31" t="s">
        <v>820</v>
      </c>
      <c r="M267" s="36" t="s">
        <v>836</v>
      </c>
    </row>
    <row r="268" spans="2:13" x14ac:dyDescent="0.2">
      <c r="D268" s="31" t="s">
        <v>990</v>
      </c>
      <c r="E268" s="53" t="s">
        <v>59</v>
      </c>
      <c r="K268" s="51">
        <v>1</v>
      </c>
      <c r="L268" s="31" t="s">
        <v>1055</v>
      </c>
      <c r="M268" s="36" t="s">
        <v>837</v>
      </c>
    </row>
    <row r="269" spans="2:13" x14ac:dyDescent="0.2">
      <c r="D269" s="31" t="s">
        <v>838</v>
      </c>
      <c r="E269" s="53" t="s">
        <v>51</v>
      </c>
      <c r="K269" s="297">
        <v>1E-3</v>
      </c>
      <c r="L269" s="31" t="s">
        <v>36</v>
      </c>
      <c r="M269" s="36" t="s">
        <v>839</v>
      </c>
    </row>
  </sheetData>
  <dataValidations count="1">
    <dataValidation type="decimal" allowBlank="1" showInputMessage="1" showErrorMessage="1" error="Midpoint year must be between 2027 and 2033." sqref="F16:G16">
      <formula1>2027</formula1>
      <formula2>2033</formula2>
    </dataValidation>
  </dataValidations>
  <pageMargins left="0.7" right="0.7" top="0.75" bottom="0.75" header="0.3" footer="0.3"/>
  <pageSetup scale="41" fitToHeight="0" orientation="landscape"/>
  <headerFooter>
    <oddFooter>&amp;C&amp;A, page &amp;P of &amp;N</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0070C0"/>
    <pageSetUpPr fitToPage="1"/>
  </sheetPr>
  <dimension ref="A1:K122"/>
  <sheetViews>
    <sheetView showGridLines="0" zoomScale="85" zoomScaleNormal="85" workbookViewId="0">
      <pane xSplit="4" ySplit="6" topLeftCell="E7" activePane="bottomRight" state="frozenSplit"/>
      <selection pane="topRight" activeCell="E1" sqref="E1"/>
      <selection pane="bottomLeft" activeCell="A7" sqref="A7"/>
      <selection pane="bottomRight"/>
    </sheetView>
  </sheetViews>
  <sheetFormatPr defaultRowHeight="12.75" x14ac:dyDescent="0.2"/>
  <cols>
    <col min="1" max="3" width="2.7109375" style="10" customWidth="1"/>
    <col min="4" max="4" width="62.7109375" style="23" customWidth="1"/>
    <col min="5" max="5" width="8.7109375" style="23" customWidth="1"/>
    <col min="6" max="8" width="11.7109375" style="23" customWidth="1"/>
    <col min="9" max="9" width="14.7109375" style="23" customWidth="1"/>
    <col min="10" max="10" width="28.7109375" style="23" customWidth="1"/>
    <col min="11" max="11" width="90.7109375" style="23" customWidth="1"/>
    <col min="12" max="16384" width="9.140625" style="10"/>
  </cols>
  <sheetData>
    <row r="1" spans="1:11" ht="18" x14ac:dyDescent="0.25">
      <c r="A1" s="191" t="s">
        <v>2148</v>
      </c>
    </row>
    <row r="2" spans="1:11" ht="14.25" x14ac:dyDescent="0.2">
      <c r="A2" s="192" t="s">
        <v>1963</v>
      </c>
    </row>
    <row r="3" spans="1:11" x14ac:dyDescent="0.2">
      <c r="A3" s="7" t="s">
        <v>1964</v>
      </c>
    </row>
    <row r="4" spans="1:11" x14ac:dyDescent="0.2">
      <c r="A4" s="12"/>
      <c r="B4" s="12"/>
      <c r="C4" s="12"/>
      <c r="D4" s="298"/>
      <c r="E4" s="298"/>
      <c r="F4" s="298"/>
      <c r="G4" s="298"/>
      <c r="H4" s="298"/>
      <c r="I4" s="298"/>
      <c r="J4" s="298"/>
      <c r="K4" s="298"/>
    </row>
    <row r="6" spans="1:11" x14ac:dyDescent="0.2">
      <c r="A6" s="23"/>
      <c r="B6" s="24" t="s">
        <v>8</v>
      </c>
      <c r="C6" s="24" t="s">
        <v>8</v>
      </c>
      <c r="D6" s="25" t="s">
        <v>844</v>
      </c>
      <c r="E6" s="26"/>
      <c r="F6" s="26"/>
      <c r="G6" s="26"/>
      <c r="H6" s="26"/>
      <c r="I6" s="26"/>
      <c r="J6" s="26"/>
      <c r="K6" s="27"/>
    </row>
    <row r="7" spans="1:11" x14ac:dyDescent="0.2">
      <c r="A7" s="23"/>
      <c r="B7" s="23"/>
      <c r="C7" s="23"/>
      <c r="D7" s="28" t="s">
        <v>501</v>
      </c>
      <c r="E7" s="29" t="s">
        <v>502</v>
      </c>
      <c r="F7" s="29" t="s">
        <v>503</v>
      </c>
      <c r="G7" s="29" t="s">
        <v>504</v>
      </c>
      <c r="H7" s="29" t="s">
        <v>505</v>
      </c>
      <c r="I7" s="29" t="s">
        <v>506</v>
      </c>
      <c r="J7" s="29" t="s">
        <v>40</v>
      </c>
      <c r="K7" s="30" t="s">
        <v>315</v>
      </c>
    </row>
    <row r="8" spans="1:11" ht="25.5" x14ac:dyDescent="0.2">
      <c r="A8" s="23"/>
      <c r="B8" s="23"/>
      <c r="C8" s="23"/>
      <c r="D8" s="31" t="s">
        <v>523</v>
      </c>
      <c r="E8" s="32" t="s">
        <v>524</v>
      </c>
      <c r="F8" s="33">
        <v>121.3</v>
      </c>
      <c r="G8" s="34">
        <v>2026.25</v>
      </c>
      <c r="H8" s="34">
        <v>2033.58</v>
      </c>
      <c r="I8" s="35">
        <v>1.5</v>
      </c>
      <c r="J8" s="31" t="s">
        <v>932</v>
      </c>
      <c r="K8" s="36" t="s">
        <v>927</v>
      </c>
    </row>
    <row r="9" spans="1:11" x14ac:dyDescent="0.2">
      <c r="A9" s="23"/>
      <c r="B9" s="23"/>
      <c r="C9" s="23"/>
      <c r="D9" s="31" t="s">
        <v>527</v>
      </c>
      <c r="E9" s="32" t="s">
        <v>524</v>
      </c>
      <c r="F9" s="33">
        <v>110</v>
      </c>
      <c r="G9" s="34">
        <v>2026.33</v>
      </c>
      <c r="H9" s="34">
        <v>2036.33</v>
      </c>
      <c r="I9" s="35">
        <v>2</v>
      </c>
      <c r="J9" s="31" t="s">
        <v>926</v>
      </c>
      <c r="K9" s="36" t="s">
        <v>528</v>
      </c>
    </row>
    <row r="10" spans="1:11" x14ac:dyDescent="0.2">
      <c r="A10" s="23"/>
      <c r="B10" s="23"/>
      <c r="C10" s="23"/>
      <c r="D10" s="31" t="s">
        <v>529</v>
      </c>
      <c r="E10" s="32" t="s">
        <v>524</v>
      </c>
      <c r="F10" s="33">
        <v>44.9</v>
      </c>
      <c r="G10" s="34">
        <v>2026.83</v>
      </c>
      <c r="H10" s="34">
        <v>2033.42</v>
      </c>
      <c r="I10" s="35">
        <v>1</v>
      </c>
      <c r="J10" s="31" t="s">
        <v>932</v>
      </c>
      <c r="K10" s="36" t="s">
        <v>530</v>
      </c>
    </row>
    <row r="11" spans="1:11" ht="25.5" x14ac:dyDescent="0.2">
      <c r="A11" s="23"/>
      <c r="B11" s="23"/>
      <c r="C11" s="23"/>
      <c r="D11" s="31" t="s">
        <v>531</v>
      </c>
      <c r="E11" s="32" t="s">
        <v>524</v>
      </c>
      <c r="F11" s="37">
        <v>125.2</v>
      </c>
      <c r="G11" s="34">
        <v>2027</v>
      </c>
      <c r="H11" s="69" t="s">
        <v>845</v>
      </c>
      <c r="I11" s="68">
        <v>1</v>
      </c>
      <c r="J11" s="31" t="s">
        <v>532</v>
      </c>
      <c r="K11" s="36" t="s">
        <v>533</v>
      </c>
    </row>
    <row r="12" spans="1:11" ht="25.5" x14ac:dyDescent="0.2">
      <c r="A12" s="23"/>
      <c r="B12" s="23"/>
      <c r="C12" s="23"/>
      <c r="D12" s="31" t="s">
        <v>534</v>
      </c>
      <c r="E12" s="38" t="s">
        <v>524</v>
      </c>
      <c r="F12" s="39" t="s">
        <v>845</v>
      </c>
      <c r="G12" s="34">
        <v>2027</v>
      </c>
      <c r="H12" s="69" t="s">
        <v>845</v>
      </c>
      <c r="I12" s="68">
        <v>1</v>
      </c>
      <c r="J12" s="36" t="s">
        <v>904</v>
      </c>
      <c r="K12" s="36" t="s">
        <v>536</v>
      </c>
    </row>
    <row r="13" spans="1:11" x14ac:dyDescent="0.2">
      <c r="A13" s="23"/>
      <c r="B13" s="23"/>
      <c r="C13" s="23"/>
      <c r="D13" s="31" t="s">
        <v>537</v>
      </c>
      <c r="E13" s="38" t="s">
        <v>524</v>
      </c>
      <c r="F13" s="39" t="s">
        <v>845</v>
      </c>
      <c r="G13" s="34">
        <v>2026.5</v>
      </c>
      <c r="H13" s="69" t="s">
        <v>845</v>
      </c>
      <c r="I13" s="68">
        <v>0.5</v>
      </c>
      <c r="J13" s="31" t="s">
        <v>538</v>
      </c>
      <c r="K13" s="36" t="s">
        <v>539</v>
      </c>
    </row>
    <row r="14" spans="1:11" x14ac:dyDescent="0.2">
      <c r="A14" s="23"/>
      <c r="B14" s="23"/>
      <c r="C14" s="23"/>
      <c r="D14" s="31" t="s">
        <v>540</v>
      </c>
      <c r="E14" s="38" t="s">
        <v>524</v>
      </c>
      <c r="F14" s="39" t="s">
        <v>845</v>
      </c>
      <c r="G14" s="34">
        <v>2026.5</v>
      </c>
      <c r="H14" s="69" t="s">
        <v>845</v>
      </c>
      <c r="I14" s="68">
        <v>0.5</v>
      </c>
      <c r="J14" s="31" t="s">
        <v>541</v>
      </c>
      <c r="K14" s="36" t="s">
        <v>542</v>
      </c>
    </row>
    <row r="15" spans="1:11" ht="25.5" x14ac:dyDescent="0.2">
      <c r="A15" s="23"/>
      <c r="B15" s="23"/>
      <c r="C15" s="23"/>
      <c r="D15" s="31" t="s">
        <v>543</v>
      </c>
      <c r="E15" s="38" t="s">
        <v>524</v>
      </c>
      <c r="F15" s="39" t="s">
        <v>845</v>
      </c>
      <c r="G15" s="35">
        <v>2026.33</v>
      </c>
      <c r="H15" s="39" t="s">
        <v>845</v>
      </c>
      <c r="I15" s="35">
        <v>0.57999999999999996</v>
      </c>
      <c r="J15" s="31" t="s">
        <v>544</v>
      </c>
      <c r="K15" s="36" t="s">
        <v>545</v>
      </c>
    </row>
    <row r="16" spans="1:11" x14ac:dyDescent="0.2">
      <c r="A16" s="23"/>
      <c r="B16" s="23"/>
      <c r="C16" s="23"/>
      <c r="D16" s="31" t="s">
        <v>546</v>
      </c>
      <c r="E16" s="38" t="s">
        <v>524</v>
      </c>
      <c r="F16" s="39" t="s">
        <v>845</v>
      </c>
      <c r="G16" s="41">
        <v>2026.33</v>
      </c>
      <c r="H16" s="39" t="s">
        <v>845</v>
      </c>
      <c r="I16" s="35">
        <v>0.57999999999999996</v>
      </c>
      <c r="J16" s="31" t="s">
        <v>544</v>
      </c>
      <c r="K16" s="36" t="s">
        <v>547</v>
      </c>
    </row>
    <row r="17" spans="1:11" ht="25.5" x14ac:dyDescent="0.2">
      <c r="A17" s="23"/>
      <c r="B17" s="23"/>
      <c r="C17" s="23"/>
      <c r="D17" s="31" t="s">
        <v>548</v>
      </c>
      <c r="E17" s="38" t="s">
        <v>549</v>
      </c>
      <c r="F17" s="39" t="s">
        <v>845</v>
      </c>
      <c r="G17" s="39" t="s">
        <v>845</v>
      </c>
      <c r="H17" s="39" t="s">
        <v>845</v>
      </c>
      <c r="I17" s="35">
        <v>0</v>
      </c>
      <c r="J17" s="36" t="s">
        <v>550</v>
      </c>
      <c r="K17" s="36" t="s">
        <v>551</v>
      </c>
    </row>
    <row r="18" spans="1:11" ht="25.5" x14ac:dyDescent="0.2">
      <c r="A18" s="23"/>
      <c r="B18" s="23"/>
      <c r="C18" s="23"/>
      <c r="D18" s="31" t="s">
        <v>552</v>
      </c>
      <c r="E18" s="38" t="s">
        <v>549</v>
      </c>
      <c r="F18" s="39" t="s">
        <v>845</v>
      </c>
      <c r="G18" s="39" t="s">
        <v>845</v>
      </c>
      <c r="H18" s="39" t="s">
        <v>845</v>
      </c>
      <c r="I18" s="35">
        <v>0</v>
      </c>
      <c r="J18" s="36" t="s">
        <v>550</v>
      </c>
      <c r="K18" s="36" t="s">
        <v>542</v>
      </c>
    </row>
    <row r="19" spans="1:11" ht="25.5" x14ac:dyDescent="0.2">
      <c r="A19" s="23"/>
      <c r="B19" s="23"/>
      <c r="C19" s="23"/>
      <c r="D19" s="31" t="s">
        <v>553</v>
      </c>
      <c r="E19" s="38" t="s">
        <v>549</v>
      </c>
      <c r="F19" s="39" t="s">
        <v>845</v>
      </c>
      <c r="G19" s="39" t="s">
        <v>845</v>
      </c>
      <c r="H19" s="39" t="s">
        <v>845</v>
      </c>
      <c r="I19" s="35">
        <v>0</v>
      </c>
      <c r="J19" s="31" t="s">
        <v>554</v>
      </c>
      <c r="K19" s="36" t="s">
        <v>555</v>
      </c>
    </row>
    <row r="20" spans="1:11" x14ac:dyDescent="0.2">
      <c r="A20" s="23"/>
      <c r="B20" s="23"/>
      <c r="C20" s="23"/>
      <c r="D20" s="31" t="s">
        <v>556</v>
      </c>
      <c r="E20" s="32" t="s">
        <v>557</v>
      </c>
      <c r="F20" s="33">
        <v>44.6</v>
      </c>
      <c r="G20" s="34">
        <v>2027</v>
      </c>
      <c r="H20" s="34">
        <v>2033</v>
      </c>
      <c r="I20" s="35">
        <v>2</v>
      </c>
      <c r="J20" s="31" t="s">
        <v>926</v>
      </c>
      <c r="K20" s="36" t="s">
        <v>558</v>
      </c>
    </row>
    <row r="21" spans="1:11" x14ac:dyDescent="0.2">
      <c r="A21" s="23"/>
      <c r="B21" s="23"/>
      <c r="C21" s="23"/>
      <c r="D21" s="31" t="s">
        <v>559</v>
      </c>
      <c r="E21" s="32" t="s">
        <v>557</v>
      </c>
      <c r="F21" s="37">
        <v>41.3</v>
      </c>
      <c r="G21" s="34">
        <v>2026.75</v>
      </c>
      <c r="H21" s="34">
        <v>2034</v>
      </c>
      <c r="I21" s="35">
        <v>2</v>
      </c>
      <c r="J21" s="31" t="s">
        <v>926</v>
      </c>
      <c r="K21" s="36" t="s">
        <v>560</v>
      </c>
    </row>
    <row r="22" spans="1:11" x14ac:dyDescent="0.2">
      <c r="A22" s="23"/>
      <c r="B22" s="23"/>
      <c r="C22" s="23"/>
      <c r="D22" s="31" t="s">
        <v>561</v>
      </c>
      <c r="E22" s="38" t="s">
        <v>562</v>
      </c>
      <c r="F22" s="39" t="s">
        <v>845</v>
      </c>
      <c r="G22" s="34">
        <v>2028</v>
      </c>
      <c r="H22" s="34">
        <v>2035</v>
      </c>
      <c r="I22" s="35">
        <v>3</v>
      </c>
      <c r="J22" s="31" t="s">
        <v>1083</v>
      </c>
      <c r="K22" s="36" t="s">
        <v>563</v>
      </c>
    </row>
    <row r="23" spans="1:11" x14ac:dyDescent="0.2">
      <c r="A23" s="23"/>
      <c r="B23" s="23"/>
      <c r="C23" s="23"/>
      <c r="D23" s="31" t="s">
        <v>564</v>
      </c>
      <c r="E23" s="32" t="s">
        <v>562</v>
      </c>
      <c r="F23" s="37">
        <v>20</v>
      </c>
      <c r="G23" s="34">
        <v>2027</v>
      </c>
      <c r="H23" s="34">
        <v>2031</v>
      </c>
      <c r="I23" s="35">
        <v>1</v>
      </c>
      <c r="J23" s="31" t="s">
        <v>926</v>
      </c>
      <c r="K23" s="42" t="s">
        <v>846</v>
      </c>
    </row>
    <row r="24" spans="1:11" x14ac:dyDescent="0.2">
      <c r="A24" s="23"/>
      <c r="B24" s="23"/>
      <c r="C24" s="23"/>
      <c r="D24" s="31" t="s">
        <v>566</v>
      </c>
      <c r="E24" s="38" t="s">
        <v>524</v>
      </c>
      <c r="F24" s="39" t="s">
        <v>845</v>
      </c>
      <c r="G24" s="34">
        <v>2026.75</v>
      </c>
      <c r="H24" s="34">
        <v>2027.75</v>
      </c>
      <c r="I24" s="35">
        <v>0</v>
      </c>
      <c r="J24" s="31" t="s">
        <v>381</v>
      </c>
      <c r="K24" s="36" t="s">
        <v>567</v>
      </c>
    </row>
    <row r="25" spans="1:11" ht="51" x14ac:dyDescent="0.2">
      <c r="A25" s="23"/>
      <c r="B25" s="23"/>
      <c r="C25" s="23"/>
      <c r="D25" s="31" t="s">
        <v>928</v>
      </c>
      <c r="E25" s="43" t="s">
        <v>557</v>
      </c>
      <c r="F25" s="39" t="s">
        <v>845</v>
      </c>
      <c r="G25" s="40">
        <v>2027.5</v>
      </c>
      <c r="H25" s="40">
        <v>2042</v>
      </c>
      <c r="I25" s="41">
        <v>1.5</v>
      </c>
      <c r="J25" s="31" t="s">
        <v>1065</v>
      </c>
      <c r="K25" s="36" t="s">
        <v>1027</v>
      </c>
    </row>
    <row r="26" spans="1:11" ht="51" x14ac:dyDescent="0.2">
      <c r="A26" s="23"/>
      <c r="B26" s="23"/>
      <c r="C26" s="23"/>
      <c r="D26" s="31" t="s">
        <v>929</v>
      </c>
      <c r="E26" s="43" t="s">
        <v>568</v>
      </c>
      <c r="F26" s="39" t="s">
        <v>845</v>
      </c>
      <c r="G26" s="40">
        <v>2027</v>
      </c>
      <c r="H26" s="40">
        <v>2045</v>
      </c>
      <c r="I26" s="41">
        <v>3</v>
      </c>
      <c r="J26" s="36" t="s">
        <v>930</v>
      </c>
      <c r="K26" s="36" t="s">
        <v>1066</v>
      </c>
    </row>
    <row r="27" spans="1:11" x14ac:dyDescent="0.2">
      <c r="A27" s="23"/>
      <c r="B27" s="23"/>
      <c r="C27" s="23"/>
      <c r="D27" s="44" t="s">
        <v>2261</v>
      </c>
      <c r="K27" s="45"/>
    </row>
    <row r="28" spans="1:11" x14ac:dyDescent="0.2">
      <c r="A28" s="23"/>
      <c r="B28" s="23"/>
      <c r="C28" s="23"/>
      <c r="K28" s="45"/>
    </row>
    <row r="29" spans="1:11" x14ac:dyDescent="0.2">
      <c r="A29" s="23"/>
      <c r="B29" s="24" t="s">
        <v>8</v>
      </c>
      <c r="C29" s="24" t="s">
        <v>8</v>
      </c>
      <c r="D29" s="46" t="s">
        <v>847</v>
      </c>
      <c r="E29" s="47"/>
      <c r="F29" s="47"/>
      <c r="G29" s="47"/>
      <c r="H29" s="47"/>
      <c r="I29" s="47"/>
      <c r="J29" s="47"/>
      <c r="K29" s="48"/>
    </row>
    <row r="30" spans="1:11" x14ac:dyDescent="0.2">
      <c r="A30" s="23"/>
      <c r="B30" s="23"/>
      <c r="C30" s="23"/>
      <c r="D30" s="28" t="s">
        <v>38</v>
      </c>
      <c r="E30" s="29" t="s">
        <v>39</v>
      </c>
      <c r="I30" s="29" t="s">
        <v>314</v>
      </c>
      <c r="J30" s="29" t="s">
        <v>40</v>
      </c>
      <c r="K30" s="30" t="s">
        <v>315</v>
      </c>
    </row>
    <row r="31" spans="1:11" x14ac:dyDescent="0.2">
      <c r="A31" s="23"/>
      <c r="B31" s="23"/>
      <c r="C31" s="23"/>
      <c r="D31" s="31" t="s">
        <v>583</v>
      </c>
      <c r="E31" s="31" t="s">
        <v>51</v>
      </c>
      <c r="I31" s="49">
        <v>161.19999999999999</v>
      </c>
      <c r="J31" s="31" t="s">
        <v>75</v>
      </c>
      <c r="K31" s="45"/>
    </row>
    <row r="32" spans="1:11" ht="25.5" x14ac:dyDescent="0.2">
      <c r="A32" s="23"/>
      <c r="B32" s="23"/>
      <c r="C32" s="23"/>
      <c r="D32" s="36" t="s">
        <v>584</v>
      </c>
      <c r="E32" s="31" t="s">
        <v>54</v>
      </c>
      <c r="I32" s="50">
        <v>6.6000000000000003E-2</v>
      </c>
      <c r="J32" s="31" t="s">
        <v>1060</v>
      </c>
      <c r="K32" s="45" t="s">
        <v>1028</v>
      </c>
    </row>
    <row r="33" spans="1:11" ht="25.5" x14ac:dyDescent="0.2">
      <c r="A33" s="23"/>
      <c r="B33" s="23"/>
      <c r="C33" s="23"/>
      <c r="D33" s="31" t="s">
        <v>585</v>
      </c>
      <c r="E33" s="31" t="s">
        <v>59</v>
      </c>
      <c r="I33" s="51">
        <v>20</v>
      </c>
      <c r="J33" s="36" t="s">
        <v>586</v>
      </c>
      <c r="K33" s="45"/>
    </row>
    <row r="34" spans="1:11" x14ac:dyDescent="0.2">
      <c r="A34" s="23"/>
      <c r="B34" s="23"/>
      <c r="C34" s="23"/>
      <c r="D34" s="31" t="s">
        <v>587</v>
      </c>
      <c r="E34" s="31" t="s">
        <v>51</v>
      </c>
      <c r="I34" s="49">
        <v>120.5</v>
      </c>
      <c r="J34" s="31" t="s">
        <v>75</v>
      </c>
      <c r="K34" s="45"/>
    </row>
    <row r="35" spans="1:11" x14ac:dyDescent="0.2">
      <c r="A35" s="23"/>
      <c r="B35" s="23"/>
      <c r="C35" s="23"/>
      <c r="D35" s="31" t="s">
        <v>588</v>
      </c>
      <c r="E35" s="31" t="s">
        <v>51</v>
      </c>
      <c r="I35" s="49">
        <v>3.1</v>
      </c>
      <c r="J35" s="31" t="s">
        <v>589</v>
      </c>
      <c r="K35" s="45"/>
    </row>
    <row r="36" spans="1:11" ht="25.5" x14ac:dyDescent="0.2">
      <c r="A36" s="23"/>
      <c r="B36" s="23"/>
      <c r="C36" s="23"/>
      <c r="D36" s="31" t="s">
        <v>590</v>
      </c>
      <c r="E36" s="31" t="s">
        <v>54</v>
      </c>
      <c r="I36" s="50">
        <v>0.5</v>
      </c>
      <c r="J36" s="36" t="s">
        <v>591</v>
      </c>
      <c r="K36" s="45"/>
    </row>
    <row r="37" spans="1:11" x14ac:dyDescent="0.2">
      <c r="A37" s="23"/>
      <c r="B37" s="23"/>
      <c r="C37" s="23"/>
      <c r="D37" s="31" t="s">
        <v>592</v>
      </c>
      <c r="E37" s="31" t="s">
        <v>59</v>
      </c>
      <c r="I37" s="35">
        <v>2027.33</v>
      </c>
      <c r="J37" s="31" t="s">
        <v>544</v>
      </c>
      <c r="K37" s="45"/>
    </row>
    <row r="38" spans="1:11" x14ac:dyDescent="0.2">
      <c r="A38" s="23"/>
      <c r="B38" s="23"/>
      <c r="C38" s="23"/>
      <c r="D38" s="31" t="s">
        <v>593</v>
      </c>
      <c r="E38" s="31" t="s">
        <v>59</v>
      </c>
      <c r="I38" s="35">
        <v>2027.5</v>
      </c>
      <c r="J38" s="31" t="s">
        <v>544</v>
      </c>
      <c r="K38" s="45"/>
    </row>
    <row r="39" spans="1:11" ht="25.5" x14ac:dyDescent="0.2">
      <c r="A39" s="23"/>
      <c r="B39" s="23"/>
      <c r="C39" s="23"/>
      <c r="D39" s="31" t="s">
        <v>594</v>
      </c>
      <c r="E39" s="31" t="s">
        <v>59</v>
      </c>
      <c r="I39" s="35">
        <v>2029.42</v>
      </c>
      <c r="J39" s="36" t="s">
        <v>2182</v>
      </c>
      <c r="K39" s="45"/>
    </row>
    <row r="40" spans="1:11" x14ac:dyDescent="0.2">
      <c r="A40" s="23"/>
      <c r="B40" s="23"/>
      <c r="C40" s="23"/>
      <c r="D40" s="31" t="s">
        <v>595</v>
      </c>
      <c r="E40" s="31" t="s">
        <v>51</v>
      </c>
      <c r="I40" s="49">
        <v>1.25</v>
      </c>
      <c r="J40" s="36" t="s">
        <v>2183</v>
      </c>
      <c r="K40" s="45"/>
    </row>
    <row r="41" spans="1:11" x14ac:dyDescent="0.2">
      <c r="A41" s="23"/>
      <c r="B41" s="23"/>
      <c r="C41" s="23"/>
      <c r="D41" s="31" t="s">
        <v>596</v>
      </c>
      <c r="E41" s="31" t="s">
        <v>51</v>
      </c>
      <c r="I41" s="49">
        <v>125</v>
      </c>
      <c r="J41" s="31" t="s">
        <v>525</v>
      </c>
      <c r="K41" s="45"/>
    </row>
    <row r="42" spans="1:11" x14ac:dyDescent="0.2">
      <c r="A42" s="23"/>
      <c r="B42" s="23"/>
      <c r="C42" s="23"/>
      <c r="D42" s="31" t="s">
        <v>597</v>
      </c>
      <c r="E42" s="31" t="s">
        <v>51</v>
      </c>
      <c r="I42" s="49">
        <v>150</v>
      </c>
      <c r="J42" s="31" t="s">
        <v>525</v>
      </c>
      <c r="K42" s="45"/>
    </row>
    <row r="43" spans="1:11" ht="25.5" x14ac:dyDescent="0.2">
      <c r="A43" s="23"/>
      <c r="B43" s="23"/>
      <c r="C43" s="23"/>
      <c r="D43" s="36" t="s">
        <v>931</v>
      </c>
      <c r="E43" s="31" t="s">
        <v>51</v>
      </c>
      <c r="I43" s="49">
        <v>319.99299999999999</v>
      </c>
      <c r="J43" s="31" t="s">
        <v>1054</v>
      </c>
      <c r="K43" s="45" t="s">
        <v>933</v>
      </c>
    </row>
    <row r="44" spans="1:11" ht="25.5" x14ac:dyDescent="0.2">
      <c r="A44" s="23"/>
      <c r="B44" s="23"/>
      <c r="C44" s="23"/>
      <c r="D44" s="36" t="s">
        <v>934</v>
      </c>
      <c r="E44" s="31" t="s">
        <v>51</v>
      </c>
      <c r="I44" s="49">
        <v>451.2</v>
      </c>
      <c r="J44" s="31" t="s">
        <v>932</v>
      </c>
      <c r="K44" s="45" t="s">
        <v>935</v>
      </c>
    </row>
    <row r="45" spans="1:11" x14ac:dyDescent="0.2">
      <c r="A45" s="23"/>
      <c r="B45" s="23"/>
      <c r="C45" s="23"/>
      <c r="D45" s="31" t="s">
        <v>936</v>
      </c>
      <c r="E45" s="31" t="s">
        <v>51</v>
      </c>
      <c r="I45" s="49">
        <v>100.2</v>
      </c>
      <c r="J45" s="31" t="s">
        <v>932</v>
      </c>
      <c r="K45" s="45" t="s">
        <v>937</v>
      </c>
    </row>
    <row r="46" spans="1:11" ht="38.25" x14ac:dyDescent="0.2">
      <c r="A46" s="23"/>
      <c r="B46" s="23"/>
      <c r="C46" s="23"/>
      <c r="D46" s="36" t="s">
        <v>1023</v>
      </c>
      <c r="E46" s="31" t="s">
        <v>51</v>
      </c>
      <c r="I46" s="52">
        <v>17.399999999999999</v>
      </c>
      <c r="J46" s="31" t="s">
        <v>932</v>
      </c>
      <c r="K46" s="45" t="s">
        <v>1024</v>
      </c>
    </row>
    <row r="47" spans="1:11" x14ac:dyDescent="0.2">
      <c r="A47" s="23"/>
      <c r="B47" s="23"/>
      <c r="C47" s="23"/>
      <c r="D47" s="31" t="s">
        <v>1025</v>
      </c>
      <c r="E47" s="31" t="s">
        <v>51</v>
      </c>
      <c r="I47" s="52">
        <v>6.6</v>
      </c>
      <c r="J47" s="31" t="s">
        <v>932</v>
      </c>
      <c r="K47" s="45" t="s">
        <v>1026</v>
      </c>
    </row>
    <row r="48" spans="1:11" x14ac:dyDescent="0.2">
      <c r="A48" s="23"/>
      <c r="B48" s="23"/>
      <c r="C48" s="23"/>
      <c r="D48" s="31" t="s">
        <v>938</v>
      </c>
      <c r="E48" s="31" t="s">
        <v>51</v>
      </c>
      <c r="I48" s="49">
        <v>895.4</v>
      </c>
      <c r="J48" s="31" t="s">
        <v>1067</v>
      </c>
      <c r="K48" s="45" t="s">
        <v>939</v>
      </c>
    </row>
    <row r="49" spans="1:11" x14ac:dyDescent="0.2">
      <c r="A49" s="23"/>
      <c r="B49" s="23"/>
      <c r="C49" s="23"/>
      <c r="D49" s="31" t="s">
        <v>940</v>
      </c>
      <c r="E49" s="31" t="s">
        <v>51</v>
      </c>
      <c r="I49" s="49">
        <v>213.8</v>
      </c>
      <c r="J49" s="31" t="s">
        <v>1054</v>
      </c>
      <c r="K49" s="45" t="s">
        <v>941</v>
      </c>
    </row>
    <row r="50" spans="1:11" x14ac:dyDescent="0.2">
      <c r="A50" s="23"/>
      <c r="B50" s="23"/>
      <c r="C50" s="23"/>
      <c r="D50" s="31" t="s">
        <v>942</v>
      </c>
      <c r="E50" s="31" t="s">
        <v>51</v>
      </c>
      <c r="I50" s="49">
        <v>447.5</v>
      </c>
      <c r="J50" s="31" t="s">
        <v>1068</v>
      </c>
      <c r="K50" s="45" t="s">
        <v>943</v>
      </c>
    </row>
    <row r="51" spans="1:11" x14ac:dyDescent="0.2">
      <c r="A51" s="23"/>
      <c r="B51" s="23"/>
      <c r="C51" s="23"/>
      <c r="D51" s="31" t="s">
        <v>944</v>
      </c>
      <c r="E51" s="31" t="s">
        <v>51</v>
      </c>
      <c r="I51" s="49">
        <v>69.8</v>
      </c>
      <c r="J51" s="31" t="s">
        <v>932</v>
      </c>
      <c r="K51" s="45" t="s">
        <v>945</v>
      </c>
    </row>
    <row r="52" spans="1:11" x14ac:dyDescent="0.2">
      <c r="A52" s="23"/>
      <c r="B52" s="23"/>
      <c r="C52" s="23"/>
      <c r="D52" s="31" t="s">
        <v>946</v>
      </c>
      <c r="I52" s="49" t="s">
        <v>947</v>
      </c>
      <c r="J52" s="31" t="s">
        <v>932</v>
      </c>
      <c r="K52" s="45" t="s">
        <v>948</v>
      </c>
    </row>
    <row r="53" spans="1:11" x14ac:dyDescent="0.2">
      <c r="A53" s="23"/>
      <c r="B53" s="23"/>
      <c r="C53" s="23"/>
      <c r="K53" s="45"/>
    </row>
    <row r="54" spans="1:11" x14ac:dyDescent="0.2">
      <c r="A54" s="23"/>
      <c r="B54" s="24" t="s">
        <v>8</v>
      </c>
      <c r="C54" s="24" t="s">
        <v>8</v>
      </c>
      <c r="D54" s="25" t="s">
        <v>848</v>
      </c>
      <c r="E54" s="26"/>
      <c r="F54" s="26"/>
      <c r="G54" s="26"/>
      <c r="H54" s="26"/>
      <c r="I54" s="26"/>
      <c r="J54" s="26"/>
      <c r="K54" s="27"/>
    </row>
    <row r="55" spans="1:11" x14ac:dyDescent="0.2">
      <c r="A55" s="23"/>
      <c r="B55" s="23"/>
      <c r="C55" s="23"/>
      <c r="D55" s="28" t="s">
        <v>38</v>
      </c>
      <c r="E55" s="29" t="s">
        <v>39</v>
      </c>
      <c r="I55" s="29" t="s">
        <v>314</v>
      </c>
      <c r="J55" s="29" t="s">
        <v>40</v>
      </c>
      <c r="K55" s="30" t="s">
        <v>315</v>
      </c>
    </row>
    <row r="56" spans="1:11" x14ac:dyDescent="0.2">
      <c r="A56" s="23"/>
      <c r="B56" s="23"/>
      <c r="C56" s="23"/>
      <c r="D56" s="31" t="s">
        <v>317</v>
      </c>
      <c r="E56" s="53" t="s">
        <v>318</v>
      </c>
      <c r="I56" s="49">
        <v>2157.3980000000001</v>
      </c>
      <c r="J56" s="31" t="s">
        <v>319</v>
      </c>
      <c r="K56" s="36" t="s">
        <v>320</v>
      </c>
    </row>
    <row r="57" spans="1:11" x14ac:dyDescent="0.2">
      <c r="A57" s="23"/>
      <c r="B57" s="23"/>
      <c r="C57" s="23"/>
      <c r="D57" s="31" t="s">
        <v>321</v>
      </c>
      <c r="E57" s="53" t="s">
        <v>318</v>
      </c>
      <c r="I57" s="49">
        <v>30.643000000000001</v>
      </c>
      <c r="J57" s="31" t="s">
        <v>319</v>
      </c>
      <c r="K57" s="36" t="s">
        <v>322</v>
      </c>
    </row>
    <row r="58" spans="1:11" x14ac:dyDescent="0.2">
      <c r="A58" s="23"/>
      <c r="B58" s="23"/>
      <c r="C58" s="23"/>
      <c r="D58" s="31" t="s">
        <v>323</v>
      </c>
      <c r="E58" s="53" t="s">
        <v>318</v>
      </c>
      <c r="I58" s="49">
        <v>12908.323</v>
      </c>
      <c r="J58" s="31" t="s">
        <v>324</v>
      </c>
      <c r="K58" s="36"/>
    </row>
    <row r="59" spans="1:11" x14ac:dyDescent="0.2">
      <c r="A59" s="23"/>
      <c r="B59" s="23"/>
      <c r="C59" s="23"/>
      <c r="D59" s="31" t="s">
        <v>325</v>
      </c>
      <c r="E59" s="53" t="s">
        <v>318</v>
      </c>
      <c r="I59" s="49">
        <v>933.69799999999998</v>
      </c>
      <c r="J59" s="31" t="s">
        <v>324</v>
      </c>
      <c r="K59" s="36"/>
    </row>
    <row r="60" spans="1:11" x14ac:dyDescent="0.2">
      <c r="A60" s="23"/>
      <c r="B60" s="23"/>
      <c r="C60" s="23"/>
      <c r="D60" s="31" t="s">
        <v>326</v>
      </c>
      <c r="E60" s="53" t="s">
        <v>318</v>
      </c>
      <c r="I60" s="49">
        <v>2846.6970000000001</v>
      </c>
      <c r="J60" s="31" t="s">
        <v>324</v>
      </c>
      <c r="K60" s="36"/>
    </row>
    <row r="61" spans="1:11" x14ac:dyDescent="0.2">
      <c r="A61" s="23"/>
      <c r="B61" s="23"/>
      <c r="C61" s="23"/>
      <c r="D61" s="31" t="s">
        <v>327</v>
      </c>
      <c r="E61" s="53" t="s">
        <v>318</v>
      </c>
      <c r="I61" s="49">
        <v>569.05899999999997</v>
      </c>
      <c r="J61" s="31" t="s">
        <v>324</v>
      </c>
      <c r="K61" s="36"/>
    </row>
    <row r="62" spans="1:11" ht="25.5" x14ac:dyDescent="0.2">
      <c r="A62" s="23"/>
      <c r="B62" s="23"/>
      <c r="C62" s="23"/>
      <c r="D62" s="31" t="s">
        <v>331</v>
      </c>
      <c r="E62" s="53" t="s">
        <v>318</v>
      </c>
      <c r="I62" s="49">
        <v>1840.444962</v>
      </c>
      <c r="J62" s="31" t="s">
        <v>332</v>
      </c>
      <c r="K62" s="36" t="s">
        <v>333</v>
      </c>
    </row>
    <row r="63" spans="1:11" ht="25.5" x14ac:dyDescent="0.2">
      <c r="A63" s="23"/>
      <c r="B63" s="23"/>
      <c r="C63" s="23"/>
      <c r="D63" s="31" t="s">
        <v>335</v>
      </c>
      <c r="E63" s="53" t="s">
        <v>318</v>
      </c>
      <c r="I63" s="49">
        <v>846.84096</v>
      </c>
      <c r="J63" s="31" t="s">
        <v>336</v>
      </c>
      <c r="K63" s="36" t="s">
        <v>337</v>
      </c>
    </row>
    <row r="64" spans="1:11" x14ac:dyDescent="0.2">
      <c r="A64" s="23"/>
      <c r="B64" s="23"/>
      <c r="C64" s="23"/>
      <c r="D64" s="31" t="s">
        <v>338</v>
      </c>
      <c r="E64" s="53" t="s">
        <v>54</v>
      </c>
      <c r="I64" s="50">
        <v>0.05</v>
      </c>
      <c r="J64" s="31" t="s">
        <v>339</v>
      </c>
      <c r="K64" s="36"/>
    </row>
    <row r="65" spans="1:11" ht="25.5" x14ac:dyDescent="0.2">
      <c r="A65" s="23"/>
      <c r="B65" s="23"/>
      <c r="C65" s="23"/>
      <c r="D65" s="31" t="s">
        <v>343</v>
      </c>
      <c r="E65" s="53" t="s">
        <v>318</v>
      </c>
      <c r="I65" s="49">
        <v>1797.066</v>
      </c>
      <c r="J65" s="31" t="s">
        <v>105</v>
      </c>
      <c r="K65" s="36" t="s">
        <v>1966</v>
      </c>
    </row>
    <row r="66" spans="1:11" x14ac:dyDescent="0.2">
      <c r="A66" s="23"/>
      <c r="B66" s="23"/>
      <c r="C66" s="23"/>
      <c r="D66" s="31" t="s">
        <v>345</v>
      </c>
      <c r="E66" s="53" t="s">
        <v>114</v>
      </c>
      <c r="I66" s="54">
        <v>2.89</v>
      </c>
      <c r="J66" s="31" t="s">
        <v>105</v>
      </c>
      <c r="K66" s="36"/>
    </row>
    <row r="67" spans="1:11" x14ac:dyDescent="0.2">
      <c r="A67" s="23"/>
      <c r="B67" s="23"/>
      <c r="C67" s="23"/>
      <c r="D67" s="31" t="s">
        <v>346</v>
      </c>
      <c r="E67" s="53" t="s">
        <v>318</v>
      </c>
      <c r="I67" s="49">
        <v>1049.6310000000001</v>
      </c>
      <c r="J67" s="31" t="s">
        <v>347</v>
      </c>
      <c r="K67" s="36" t="s">
        <v>2262</v>
      </c>
    </row>
    <row r="68" spans="1:11" x14ac:dyDescent="0.2">
      <c r="A68" s="23"/>
      <c r="B68" s="23"/>
      <c r="C68" s="23"/>
      <c r="D68" s="31" t="s">
        <v>354</v>
      </c>
      <c r="E68" s="53" t="s">
        <v>114</v>
      </c>
      <c r="I68" s="54">
        <v>589.0095</v>
      </c>
      <c r="J68" s="31" t="s">
        <v>355</v>
      </c>
      <c r="K68" s="36"/>
    </row>
    <row r="69" spans="1:11" x14ac:dyDescent="0.2">
      <c r="A69" s="23"/>
      <c r="B69" s="23"/>
      <c r="C69" s="23"/>
      <c r="D69" s="31" t="s">
        <v>356</v>
      </c>
      <c r="E69" s="53" t="s">
        <v>47</v>
      </c>
      <c r="I69" s="55">
        <v>10</v>
      </c>
      <c r="J69" s="31" t="s">
        <v>357</v>
      </c>
      <c r="K69" s="36" t="s">
        <v>358</v>
      </c>
    </row>
    <row r="70" spans="1:11" ht="25.5" x14ac:dyDescent="0.2">
      <c r="A70" s="23"/>
      <c r="B70" s="23"/>
      <c r="C70" s="23"/>
      <c r="D70" s="31" t="s">
        <v>1035</v>
      </c>
      <c r="E70" s="53" t="s">
        <v>318</v>
      </c>
      <c r="I70" s="49">
        <f>1127.994-1049.631+47</f>
        <v>125.36299999999983</v>
      </c>
      <c r="J70" s="31" t="s">
        <v>1082</v>
      </c>
      <c r="K70" s="36" t="s">
        <v>1036</v>
      </c>
    </row>
    <row r="71" spans="1:11" x14ac:dyDescent="0.2">
      <c r="A71" s="23"/>
      <c r="B71" s="23"/>
      <c r="C71" s="23"/>
      <c r="D71" s="31" t="s">
        <v>371</v>
      </c>
      <c r="E71" s="53" t="s">
        <v>318</v>
      </c>
      <c r="I71" s="49">
        <v>28</v>
      </c>
      <c r="J71" s="31" t="s">
        <v>145</v>
      </c>
      <c r="K71" s="36" t="s">
        <v>372</v>
      </c>
    </row>
    <row r="72" spans="1:11" ht="25.5" x14ac:dyDescent="0.2">
      <c r="A72" s="23"/>
      <c r="B72" s="23"/>
      <c r="C72" s="23"/>
      <c r="D72" s="31" t="s">
        <v>378</v>
      </c>
      <c r="E72" s="53" t="s">
        <v>113</v>
      </c>
      <c r="I72" s="51">
        <v>0</v>
      </c>
      <c r="J72" s="31" t="s">
        <v>36</v>
      </c>
      <c r="K72" s="36" t="s">
        <v>379</v>
      </c>
    </row>
    <row r="73" spans="1:11" x14ac:dyDescent="0.2">
      <c r="A73" s="23"/>
      <c r="B73" s="23"/>
      <c r="C73" s="23"/>
      <c r="D73" s="31" t="s">
        <v>380</v>
      </c>
      <c r="E73" s="53" t="s">
        <v>51</v>
      </c>
      <c r="I73" s="49">
        <v>5</v>
      </c>
      <c r="J73" s="31" t="s">
        <v>381</v>
      </c>
      <c r="K73" s="36"/>
    </row>
    <row r="74" spans="1:11" ht="25.5" x14ac:dyDescent="0.2">
      <c r="A74" s="23"/>
      <c r="B74" s="23"/>
      <c r="C74" s="23"/>
      <c r="D74" s="31" t="s">
        <v>386</v>
      </c>
      <c r="E74" s="53" t="s">
        <v>54</v>
      </c>
      <c r="I74" s="50">
        <v>0.02</v>
      </c>
      <c r="J74" s="31" t="s">
        <v>339</v>
      </c>
      <c r="K74" s="36" t="s">
        <v>387</v>
      </c>
    </row>
    <row r="75" spans="1:11" x14ac:dyDescent="0.2">
      <c r="A75" s="23"/>
      <c r="B75" s="23"/>
      <c r="C75" s="23"/>
      <c r="D75" s="31" t="s">
        <v>398</v>
      </c>
      <c r="E75" s="53" t="s">
        <v>51</v>
      </c>
      <c r="I75" s="49">
        <v>42</v>
      </c>
      <c r="J75" s="31" t="s">
        <v>399</v>
      </c>
      <c r="K75" s="36"/>
    </row>
    <row r="76" spans="1:11" ht="25.5" x14ac:dyDescent="0.2">
      <c r="A76" s="23"/>
      <c r="B76" s="23"/>
      <c r="C76" s="23"/>
      <c r="D76" s="31" t="s">
        <v>400</v>
      </c>
      <c r="E76" s="53" t="s">
        <v>54</v>
      </c>
      <c r="I76" s="50">
        <v>0</v>
      </c>
      <c r="J76" s="31" t="s">
        <v>36</v>
      </c>
      <c r="K76" s="36" t="s">
        <v>401</v>
      </c>
    </row>
    <row r="77" spans="1:11" x14ac:dyDescent="0.2">
      <c r="A77" s="23"/>
      <c r="B77" s="23"/>
      <c r="C77" s="23"/>
      <c r="D77" s="31" t="s">
        <v>402</v>
      </c>
      <c r="E77" s="53" t="s">
        <v>54</v>
      </c>
      <c r="I77" s="50">
        <v>0.09</v>
      </c>
      <c r="J77" s="31" t="s">
        <v>403</v>
      </c>
      <c r="K77" s="36"/>
    </row>
    <row r="78" spans="1:11" x14ac:dyDescent="0.2">
      <c r="A78" s="23"/>
      <c r="B78" s="23"/>
      <c r="C78" s="23"/>
      <c r="D78" s="31" t="s">
        <v>404</v>
      </c>
      <c r="E78" s="53" t="s">
        <v>54</v>
      </c>
      <c r="I78" s="50">
        <v>0.9</v>
      </c>
      <c r="J78" s="31" t="s">
        <v>403</v>
      </c>
      <c r="K78" s="36"/>
    </row>
    <row r="79" spans="1:11" x14ac:dyDescent="0.2">
      <c r="A79" s="23"/>
      <c r="B79" s="23"/>
      <c r="C79" s="23"/>
      <c r="D79" s="31" t="s">
        <v>405</v>
      </c>
      <c r="E79" s="53" t="s">
        <v>59</v>
      </c>
      <c r="I79" s="54">
        <v>2</v>
      </c>
      <c r="J79" s="31" t="s">
        <v>35</v>
      </c>
      <c r="K79" s="36"/>
    </row>
    <row r="80" spans="1:11" ht="25.5" x14ac:dyDescent="0.2">
      <c r="A80" s="23"/>
      <c r="B80" s="23"/>
      <c r="C80" s="23"/>
      <c r="D80" s="31" t="s">
        <v>408</v>
      </c>
      <c r="E80" s="53" t="s">
        <v>54</v>
      </c>
      <c r="I80" s="50">
        <v>0.13</v>
      </c>
      <c r="J80" s="31" t="s">
        <v>35</v>
      </c>
      <c r="K80" s="36" t="s">
        <v>409</v>
      </c>
    </row>
    <row r="81" spans="1:11" x14ac:dyDescent="0.2">
      <c r="A81" s="23"/>
      <c r="B81" s="23"/>
      <c r="C81" s="23"/>
      <c r="D81" s="31" t="s">
        <v>410</v>
      </c>
      <c r="E81" s="53" t="s">
        <v>54</v>
      </c>
      <c r="I81" s="50">
        <v>0.85</v>
      </c>
      <c r="J81" s="31" t="s">
        <v>35</v>
      </c>
      <c r="K81" s="36" t="s">
        <v>411</v>
      </c>
    </row>
    <row r="82" spans="1:11" x14ac:dyDescent="0.2">
      <c r="A82" s="23"/>
      <c r="B82" s="23"/>
      <c r="C82" s="23"/>
      <c r="D82" s="31" t="s">
        <v>412</v>
      </c>
      <c r="E82" s="53" t="s">
        <v>54</v>
      </c>
      <c r="I82" s="50">
        <v>0.13</v>
      </c>
      <c r="J82" s="31" t="s">
        <v>403</v>
      </c>
      <c r="K82" s="36"/>
    </row>
    <row r="83" spans="1:11" x14ac:dyDescent="0.2">
      <c r="A83" s="23"/>
      <c r="B83" s="23"/>
      <c r="C83" s="23"/>
      <c r="D83" s="31" t="s">
        <v>413</v>
      </c>
      <c r="E83" s="53" t="s">
        <v>54</v>
      </c>
      <c r="I83" s="50">
        <v>0.85</v>
      </c>
      <c r="J83" s="31" t="s">
        <v>403</v>
      </c>
      <c r="K83" s="36"/>
    </row>
    <row r="84" spans="1:11" x14ac:dyDescent="0.2">
      <c r="A84" s="23"/>
      <c r="B84" s="23"/>
      <c r="C84" s="23"/>
      <c r="D84" s="31" t="s">
        <v>418</v>
      </c>
      <c r="E84" s="53" t="s">
        <v>51</v>
      </c>
      <c r="I84" s="49">
        <v>2.1859999999999999</v>
      </c>
      <c r="J84" s="31" t="s">
        <v>332</v>
      </c>
      <c r="K84" s="36" t="s">
        <v>419</v>
      </c>
    </row>
    <row r="85" spans="1:11" x14ac:dyDescent="0.2">
      <c r="A85" s="23"/>
      <c r="B85" s="23"/>
      <c r="C85" s="23"/>
      <c r="D85" s="31" t="s">
        <v>420</v>
      </c>
      <c r="E85" s="53" t="s">
        <v>59</v>
      </c>
      <c r="I85" s="54">
        <v>2034.2</v>
      </c>
      <c r="J85" s="31" t="s">
        <v>332</v>
      </c>
      <c r="K85" s="36" t="s">
        <v>421</v>
      </c>
    </row>
    <row r="86" spans="1:11" x14ac:dyDescent="0.2">
      <c r="A86" s="23"/>
      <c r="B86" s="23"/>
      <c r="C86" s="23"/>
      <c r="D86" s="31" t="s">
        <v>422</v>
      </c>
      <c r="E86" s="53" t="s">
        <v>51</v>
      </c>
      <c r="I86" s="49">
        <v>4.0170000000000003</v>
      </c>
      <c r="J86" s="31" t="s">
        <v>332</v>
      </c>
      <c r="K86" s="36" t="s">
        <v>423</v>
      </c>
    </row>
    <row r="87" spans="1:11" x14ac:dyDescent="0.2">
      <c r="A87" s="23"/>
      <c r="B87" s="23"/>
      <c r="C87" s="23"/>
      <c r="D87" s="31" t="s">
        <v>424</v>
      </c>
      <c r="E87" s="53" t="s">
        <v>59</v>
      </c>
      <c r="I87" s="54">
        <v>2035.4</v>
      </c>
      <c r="J87" s="31" t="s">
        <v>332</v>
      </c>
      <c r="K87" s="36" t="s">
        <v>425</v>
      </c>
    </row>
    <row r="88" spans="1:11" x14ac:dyDescent="0.2">
      <c r="A88" s="23"/>
      <c r="B88" s="23"/>
      <c r="C88" s="23"/>
      <c r="D88" s="31" t="s">
        <v>426</v>
      </c>
      <c r="E88" s="53" t="s">
        <v>54</v>
      </c>
      <c r="I88" s="50">
        <v>0.12</v>
      </c>
      <c r="J88" s="31" t="s">
        <v>332</v>
      </c>
      <c r="K88" s="36" t="s">
        <v>427</v>
      </c>
    </row>
    <row r="89" spans="1:11" x14ac:dyDescent="0.2">
      <c r="A89" s="23"/>
      <c r="B89" s="23"/>
      <c r="C89" s="23"/>
      <c r="D89" s="31" t="s">
        <v>431</v>
      </c>
      <c r="E89" s="53" t="s">
        <v>318</v>
      </c>
      <c r="I89" s="49">
        <v>1644</v>
      </c>
      <c r="J89" s="31" t="s">
        <v>35</v>
      </c>
      <c r="K89" s="36" t="s">
        <v>432</v>
      </c>
    </row>
    <row r="90" spans="1:11" x14ac:dyDescent="0.2">
      <c r="A90" s="23"/>
      <c r="B90" s="23"/>
      <c r="C90" s="23"/>
      <c r="D90" s="31" t="s">
        <v>842</v>
      </c>
      <c r="E90" s="53" t="s">
        <v>54</v>
      </c>
      <c r="I90" s="50">
        <v>0.1</v>
      </c>
      <c r="J90" s="31" t="s">
        <v>35</v>
      </c>
      <c r="K90" s="36" t="s">
        <v>843</v>
      </c>
    </row>
    <row r="91" spans="1:11" x14ac:dyDescent="0.2">
      <c r="A91" s="23"/>
      <c r="B91" s="23"/>
      <c r="C91" s="23"/>
      <c r="D91" s="31" t="s">
        <v>457</v>
      </c>
      <c r="E91" s="53" t="s">
        <v>114</v>
      </c>
      <c r="I91" s="54">
        <v>56.086500000000001</v>
      </c>
      <c r="J91" s="31" t="s">
        <v>458</v>
      </c>
      <c r="K91" s="36" t="s">
        <v>2184</v>
      </c>
    </row>
    <row r="92" spans="1:11" x14ac:dyDescent="0.2">
      <c r="A92" s="23"/>
      <c r="B92" s="23"/>
      <c r="C92" s="23"/>
      <c r="D92" s="31" t="s">
        <v>461</v>
      </c>
      <c r="E92" s="53" t="s">
        <v>114</v>
      </c>
      <c r="I92" s="54">
        <v>140.9676</v>
      </c>
      <c r="J92" s="31" t="s">
        <v>462</v>
      </c>
      <c r="K92" s="36" t="s">
        <v>2184</v>
      </c>
    </row>
    <row r="93" spans="1:11" x14ac:dyDescent="0.2">
      <c r="A93" s="23"/>
      <c r="B93" s="23"/>
      <c r="C93" s="23"/>
      <c r="D93" s="31" t="s">
        <v>465</v>
      </c>
      <c r="E93" s="53" t="s">
        <v>114</v>
      </c>
      <c r="I93" s="54">
        <v>259.13639999999998</v>
      </c>
      <c r="J93" s="31" t="s">
        <v>355</v>
      </c>
      <c r="K93" s="36" t="s">
        <v>2184</v>
      </c>
    </row>
    <row r="94" spans="1:11" x14ac:dyDescent="0.2">
      <c r="A94" s="23"/>
      <c r="B94" s="23"/>
      <c r="C94" s="23"/>
      <c r="D94" s="31" t="s">
        <v>472</v>
      </c>
      <c r="E94" s="53" t="s">
        <v>318</v>
      </c>
      <c r="I94" s="49">
        <v>2950</v>
      </c>
      <c r="J94" s="31" t="s">
        <v>473</v>
      </c>
      <c r="K94" s="36" t="s">
        <v>474</v>
      </c>
    </row>
    <row r="95" spans="1:11" x14ac:dyDescent="0.2">
      <c r="A95" s="23"/>
      <c r="B95" s="23"/>
      <c r="C95" s="23"/>
      <c r="D95" s="31" t="s">
        <v>475</v>
      </c>
      <c r="E95" s="53" t="s">
        <v>318</v>
      </c>
      <c r="I95" s="49">
        <v>160</v>
      </c>
      <c r="J95" s="31" t="s">
        <v>473</v>
      </c>
      <c r="K95" s="36"/>
    </row>
    <row r="96" spans="1:11" x14ac:dyDescent="0.2">
      <c r="A96" s="23"/>
      <c r="B96" s="23"/>
      <c r="C96" s="23"/>
      <c r="D96" s="31" t="s">
        <v>476</v>
      </c>
      <c r="E96" s="53" t="s">
        <v>51</v>
      </c>
      <c r="I96" s="49">
        <v>20</v>
      </c>
      <c r="J96" s="31" t="s">
        <v>477</v>
      </c>
      <c r="K96" s="36" t="s">
        <v>478</v>
      </c>
    </row>
    <row r="97" spans="1:11" x14ac:dyDescent="0.2">
      <c r="A97" s="23"/>
      <c r="B97" s="23"/>
      <c r="C97" s="23"/>
      <c r="D97" s="31" t="s">
        <v>479</v>
      </c>
      <c r="E97" s="53" t="s">
        <v>51</v>
      </c>
      <c r="I97" s="52">
        <v>15</v>
      </c>
      <c r="J97" s="31" t="s">
        <v>477</v>
      </c>
      <c r="K97" s="36" t="s">
        <v>480</v>
      </c>
    </row>
    <row r="98" spans="1:11" x14ac:dyDescent="0.2">
      <c r="A98" s="23"/>
      <c r="B98" s="23"/>
      <c r="C98" s="23"/>
      <c r="K98" s="45"/>
    </row>
    <row r="99" spans="1:11" x14ac:dyDescent="0.2">
      <c r="A99" s="23"/>
      <c r="B99" s="24" t="s">
        <v>8</v>
      </c>
      <c r="C99" s="24" t="s">
        <v>8</v>
      </c>
      <c r="D99" s="25" t="s">
        <v>849</v>
      </c>
      <c r="E99" s="26"/>
      <c r="F99" s="26"/>
      <c r="G99" s="26"/>
      <c r="H99" s="26"/>
      <c r="I99" s="26"/>
      <c r="J99" s="26"/>
      <c r="K99" s="27"/>
    </row>
    <row r="100" spans="1:11" x14ac:dyDescent="0.2">
      <c r="A100" s="23"/>
      <c r="B100" s="23"/>
      <c r="C100" s="23"/>
      <c r="D100" s="28" t="s">
        <v>2185</v>
      </c>
      <c r="E100" s="29" t="s">
        <v>600</v>
      </c>
      <c r="F100" s="29" t="s">
        <v>601</v>
      </c>
      <c r="G100" s="29" t="s">
        <v>602</v>
      </c>
      <c r="H100" s="29" t="s">
        <v>603</v>
      </c>
      <c r="I100" s="29" t="s">
        <v>604</v>
      </c>
      <c r="J100" s="29" t="s">
        <v>605</v>
      </c>
      <c r="K100" s="30" t="s">
        <v>40</v>
      </c>
    </row>
    <row r="101" spans="1:11" x14ac:dyDescent="0.2">
      <c r="A101" s="23"/>
      <c r="B101" s="23"/>
      <c r="C101" s="23"/>
      <c r="D101" s="31" t="s">
        <v>608</v>
      </c>
      <c r="E101" s="56">
        <v>0.1</v>
      </c>
      <c r="F101" s="56">
        <v>0.11</v>
      </c>
      <c r="G101" s="56">
        <v>0.12</v>
      </c>
      <c r="H101" s="56">
        <v>0.1</v>
      </c>
      <c r="I101" s="56">
        <v>0.11</v>
      </c>
      <c r="J101" s="50">
        <v>0.12</v>
      </c>
      <c r="K101" s="36" t="s">
        <v>2186</v>
      </c>
    </row>
    <row r="102" spans="1:11" x14ac:dyDescent="0.2">
      <c r="A102" s="23"/>
      <c r="B102" s="23"/>
      <c r="C102" s="23"/>
      <c r="D102" s="31" t="s">
        <v>609</v>
      </c>
      <c r="E102" s="57">
        <v>5</v>
      </c>
      <c r="F102" s="57">
        <v>5</v>
      </c>
      <c r="G102" s="57">
        <v>5</v>
      </c>
      <c r="H102" s="57">
        <v>5</v>
      </c>
      <c r="I102" s="57">
        <v>5</v>
      </c>
      <c r="J102" s="51">
        <v>5</v>
      </c>
      <c r="K102" s="36" t="s">
        <v>610</v>
      </c>
    </row>
    <row r="103" spans="1:11" x14ac:dyDescent="0.2">
      <c r="A103" s="23"/>
      <c r="B103" s="23"/>
      <c r="C103" s="23"/>
      <c r="D103" s="31" t="s">
        <v>611</v>
      </c>
      <c r="E103" s="58">
        <v>30</v>
      </c>
      <c r="F103" s="58">
        <v>27.5</v>
      </c>
      <c r="G103" s="58">
        <v>25</v>
      </c>
      <c r="H103" s="58">
        <v>30</v>
      </c>
      <c r="I103" s="58">
        <v>27.5</v>
      </c>
      <c r="J103" s="55">
        <v>25</v>
      </c>
      <c r="K103" s="36" t="s">
        <v>612</v>
      </c>
    </row>
    <row r="104" spans="1:11" x14ac:dyDescent="0.2">
      <c r="A104" s="23"/>
      <c r="B104" s="23"/>
      <c r="C104" s="23"/>
      <c r="D104" s="31" t="s">
        <v>613</v>
      </c>
      <c r="E104" s="56">
        <v>0.3</v>
      </c>
      <c r="F104" s="56">
        <v>0.25</v>
      </c>
      <c r="G104" s="56">
        <v>0.2</v>
      </c>
      <c r="H104" s="56">
        <v>0.3</v>
      </c>
      <c r="I104" s="56">
        <v>0.25</v>
      </c>
      <c r="J104" s="50">
        <v>0.2</v>
      </c>
      <c r="K104" s="36" t="s">
        <v>614</v>
      </c>
    </row>
    <row r="105" spans="1:11" x14ac:dyDescent="0.2">
      <c r="A105" s="23"/>
      <c r="B105" s="23"/>
      <c r="C105" s="23"/>
      <c r="D105" s="31" t="s">
        <v>615</v>
      </c>
      <c r="E105" s="59">
        <v>0</v>
      </c>
      <c r="F105" s="59">
        <v>0</v>
      </c>
      <c r="G105" s="59">
        <v>0</v>
      </c>
      <c r="H105" s="59">
        <v>0</v>
      </c>
      <c r="I105" s="59">
        <v>0</v>
      </c>
      <c r="J105" s="60">
        <v>0</v>
      </c>
      <c r="K105" s="36" t="s">
        <v>2187</v>
      </c>
    </row>
    <row r="106" spans="1:11" x14ac:dyDescent="0.2">
      <c r="A106" s="23"/>
      <c r="B106" s="23"/>
      <c r="C106" s="23"/>
      <c r="K106" s="45"/>
    </row>
    <row r="107" spans="1:11" x14ac:dyDescent="0.2">
      <c r="A107" s="23"/>
      <c r="B107" s="23"/>
      <c r="C107" s="23"/>
      <c r="D107" s="28" t="s">
        <v>2188</v>
      </c>
      <c r="I107" s="29" t="s">
        <v>314</v>
      </c>
      <c r="J107" s="29" t="s">
        <v>40</v>
      </c>
      <c r="K107" s="45"/>
    </row>
    <row r="108" spans="1:11" ht="25.5" x14ac:dyDescent="0.2">
      <c r="A108" s="23"/>
      <c r="B108" s="23"/>
      <c r="C108" s="23"/>
      <c r="D108" s="31" t="s">
        <v>639</v>
      </c>
      <c r="E108" s="31" t="s">
        <v>59</v>
      </c>
      <c r="I108" s="49">
        <v>1468.8</v>
      </c>
      <c r="J108" s="36" t="s">
        <v>2189</v>
      </c>
      <c r="K108" s="45"/>
    </row>
    <row r="109" spans="1:11" x14ac:dyDescent="0.2">
      <c r="A109" s="23"/>
      <c r="B109" s="23"/>
      <c r="C109" s="23"/>
      <c r="D109" s="31" t="s">
        <v>640</v>
      </c>
      <c r="E109" s="31" t="s">
        <v>59</v>
      </c>
      <c r="I109" s="49">
        <v>363</v>
      </c>
      <c r="J109" s="31" t="s">
        <v>641</v>
      </c>
      <c r="K109" s="45"/>
    </row>
    <row r="110" spans="1:11" x14ac:dyDescent="0.2">
      <c r="A110" s="23"/>
      <c r="B110" s="23"/>
      <c r="C110" s="23"/>
      <c r="D110" s="31" t="s">
        <v>642</v>
      </c>
      <c r="E110" s="31" t="s">
        <v>59</v>
      </c>
      <c r="I110" s="49">
        <v>100</v>
      </c>
      <c r="J110" s="31" t="s">
        <v>643</v>
      </c>
      <c r="K110" s="45"/>
    </row>
    <row r="111" spans="1:11" ht="25.5" x14ac:dyDescent="0.2">
      <c r="A111" s="23"/>
      <c r="B111" s="23"/>
      <c r="C111" s="23"/>
      <c r="D111" s="31" t="s">
        <v>647</v>
      </c>
      <c r="E111" s="31" t="s">
        <v>59</v>
      </c>
      <c r="I111" s="49">
        <v>90.8</v>
      </c>
      <c r="J111" s="36" t="s">
        <v>648</v>
      </c>
      <c r="K111" s="45"/>
    </row>
    <row r="112" spans="1:11" ht="25.5" x14ac:dyDescent="0.2">
      <c r="A112" s="23"/>
      <c r="B112" s="23"/>
      <c r="C112" s="23"/>
      <c r="D112" s="31" t="s">
        <v>649</v>
      </c>
      <c r="E112" s="31" t="s">
        <v>59</v>
      </c>
      <c r="I112" s="49">
        <v>412</v>
      </c>
      <c r="J112" s="36" t="s">
        <v>650</v>
      </c>
      <c r="K112" s="45"/>
    </row>
    <row r="113" spans="1:11" x14ac:dyDescent="0.2">
      <c r="A113" s="23"/>
      <c r="B113" s="23"/>
      <c r="C113" s="23"/>
      <c r="D113" s="31" t="s">
        <v>651</v>
      </c>
      <c r="E113" s="31" t="s">
        <v>54</v>
      </c>
      <c r="I113" s="50">
        <v>0.27500000000000002</v>
      </c>
      <c r="J113" s="31"/>
      <c r="K113" s="45"/>
    </row>
    <row r="114" spans="1:11" x14ac:dyDescent="0.2">
      <c r="A114" s="23"/>
      <c r="B114" s="23"/>
      <c r="C114" s="23"/>
      <c r="D114" s="31" t="s">
        <v>652</v>
      </c>
      <c r="E114" s="31" t="s">
        <v>54</v>
      </c>
      <c r="I114" s="50">
        <v>9.74E-2</v>
      </c>
      <c r="J114" s="31"/>
      <c r="K114" s="45"/>
    </row>
    <row r="115" spans="1:11" x14ac:dyDescent="0.2">
      <c r="A115" s="23"/>
      <c r="B115" s="23"/>
      <c r="C115" s="23"/>
      <c r="D115" s="31" t="s">
        <v>653</v>
      </c>
      <c r="E115" s="31" t="s">
        <v>59</v>
      </c>
      <c r="I115" s="49">
        <v>1010.6</v>
      </c>
      <c r="J115" s="31"/>
      <c r="K115" s="45"/>
    </row>
    <row r="116" spans="1:11" ht="25.5" x14ac:dyDescent="0.2">
      <c r="A116" s="23"/>
      <c r="B116" s="23"/>
      <c r="C116" s="23"/>
      <c r="D116" s="31" t="s">
        <v>840</v>
      </c>
      <c r="E116" s="31" t="s">
        <v>54</v>
      </c>
      <c r="I116" s="50">
        <v>0.1</v>
      </c>
      <c r="J116" s="36" t="s">
        <v>2190</v>
      </c>
      <c r="K116" s="45"/>
    </row>
    <row r="117" spans="1:11" ht="25.5" x14ac:dyDescent="0.2">
      <c r="A117" s="23"/>
      <c r="B117" s="23"/>
      <c r="C117" s="23"/>
      <c r="D117" s="31" t="s">
        <v>841</v>
      </c>
      <c r="E117" s="31" t="s">
        <v>54</v>
      </c>
      <c r="I117" s="60">
        <v>0.5</v>
      </c>
      <c r="J117" s="36" t="s">
        <v>2190</v>
      </c>
      <c r="K117" s="45"/>
    </row>
    <row r="118" spans="1:11" x14ac:dyDescent="0.2">
      <c r="A118" s="23"/>
      <c r="B118" s="23"/>
      <c r="C118" s="23"/>
      <c r="K118" s="45"/>
    </row>
    <row r="119" spans="1:11" x14ac:dyDescent="0.2">
      <c r="B119" s="5" t="s">
        <v>8</v>
      </c>
      <c r="C119" s="5" t="s">
        <v>8</v>
      </c>
      <c r="D119" s="46" t="s">
        <v>1965</v>
      </c>
      <c r="E119" s="47"/>
      <c r="F119" s="47"/>
      <c r="G119" s="47"/>
      <c r="H119" s="47"/>
      <c r="I119" s="47"/>
      <c r="J119" s="47"/>
      <c r="K119" s="47"/>
    </row>
    <row r="120" spans="1:11" x14ac:dyDescent="0.2">
      <c r="D120" s="31" t="s">
        <v>1879</v>
      </c>
      <c r="E120" s="31" t="s">
        <v>318</v>
      </c>
      <c r="I120" s="299">
        <v>2168.788</v>
      </c>
      <c r="J120" s="31" t="s">
        <v>1880</v>
      </c>
      <c r="K120" s="31" t="s">
        <v>1881</v>
      </c>
    </row>
    <row r="121" spans="1:11" x14ac:dyDescent="0.2">
      <c r="D121" s="31" t="s">
        <v>1882</v>
      </c>
      <c r="E121" s="31" t="s">
        <v>318</v>
      </c>
      <c r="I121" s="299">
        <v>1774.3430000000001</v>
      </c>
      <c r="J121" s="31" t="s">
        <v>1883</v>
      </c>
      <c r="K121" s="31" t="s">
        <v>1884</v>
      </c>
    </row>
    <row r="122" spans="1:11" x14ac:dyDescent="0.2">
      <c r="D122" s="31" t="s">
        <v>1885</v>
      </c>
      <c r="E122" s="31" t="s">
        <v>114</v>
      </c>
      <c r="I122" s="294">
        <v>2.91</v>
      </c>
      <c r="J122" s="31" t="s">
        <v>1883</v>
      </c>
      <c r="K122" s="31" t="s">
        <v>1886</v>
      </c>
    </row>
  </sheetData>
  <pageMargins left="0.7" right="0.7" top="0.75" bottom="0.75" header="0.3" footer="0.3"/>
  <pageSetup scale="49" fitToHeight="0" orientation="landscape"/>
  <headerFooter>
    <oddFooter>&amp;C&amp;A, page &amp;P of &amp;N</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00B050"/>
    <pageSetUpPr fitToPage="1"/>
  </sheetPr>
  <dimension ref="A1:Q111"/>
  <sheetViews>
    <sheetView showGridLines="0" workbookViewId="0">
      <pane xSplit="4" ySplit="4" topLeftCell="E5" activePane="bottomRight" state="frozenSplit"/>
      <selection pane="topRight" activeCell="E1" sqref="E1"/>
      <selection pane="bottomLeft" activeCell="A5" sqref="A5"/>
      <selection pane="bottomRight"/>
    </sheetView>
  </sheetViews>
  <sheetFormatPr defaultRowHeight="12.75" x14ac:dyDescent="0.2"/>
  <cols>
    <col min="1" max="3" width="2.28515625" style="10" customWidth="1"/>
    <col min="4" max="4" width="62.7109375" style="10" customWidth="1"/>
    <col min="5" max="5" width="9.7109375" style="10" customWidth="1"/>
    <col min="6" max="16" width="11.28515625" style="10" customWidth="1"/>
    <col min="17" max="17" width="70.7109375" style="10" customWidth="1"/>
    <col min="18" max="16384" width="9.140625" style="10"/>
  </cols>
  <sheetData>
    <row r="1" spans="1:17" ht="18" x14ac:dyDescent="0.25">
      <c r="A1" s="178"/>
    </row>
    <row r="2" spans="1:17" ht="15" x14ac:dyDescent="0.25">
      <c r="A2" s="179"/>
      <c r="D2" s="11" t="s">
        <v>1233</v>
      </c>
    </row>
    <row r="3" spans="1:17" x14ac:dyDescent="0.2">
      <c r="D3" s="7" t="s">
        <v>1976</v>
      </c>
    </row>
    <row r="5" spans="1:17" x14ac:dyDescent="0.2">
      <c r="B5" s="5" t="s">
        <v>8</v>
      </c>
      <c r="C5" s="5" t="s">
        <v>8</v>
      </c>
      <c r="D5" s="6" t="s">
        <v>1234</v>
      </c>
      <c r="E5" s="95"/>
      <c r="F5" s="95"/>
      <c r="G5" s="95"/>
      <c r="H5" s="95"/>
      <c r="I5" s="95"/>
      <c r="J5" s="95"/>
      <c r="K5" s="95"/>
      <c r="L5" s="95"/>
      <c r="M5" s="95"/>
      <c r="N5" s="95"/>
      <c r="O5" s="95"/>
      <c r="P5" s="95"/>
      <c r="Q5" s="95"/>
    </row>
    <row r="6" spans="1:17" x14ac:dyDescent="0.2">
      <c r="D6" s="10" t="s">
        <v>1235</v>
      </c>
      <c r="E6" s="10" t="s">
        <v>54</v>
      </c>
      <c r="F6" s="103">
        <f>Inputs!$K$11</f>
        <v>0.2</v>
      </c>
    </row>
    <row r="7" spans="1:17" x14ac:dyDescent="0.2">
      <c r="D7" s="10" t="s">
        <v>1236</v>
      </c>
      <c r="E7" s="10" t="s">
        <v>54</v>
      </c>
      <c r="F7" s="103">
        <f>Inputs!$K$12</f>
        <v>0.3</v>
      </c>
    </row>
    <row r="8" spans="1:17" x14ac:dyDescent="0.2">
      <c r="D8" s="10" t="s">
        <v>1344</v>
      </c>
      <c r="E8" s="10" t="s">
        <v>54</v>
      </c>
      <c r="F8" s="93">
        <f>Inputs!$K$13</f>
        <v>0.45</v>
      </c>
    </row>
    <row r="9" spans="1:17" ht="25.5" x14ac:dyDescent="0.2">
      <c r="D9" s="45" t="s">
        <v>1978</v>
      </c>
      <c r="E9" s="10" t="s">
        <v>54</v>
      </c>
      <c r="F9" s="105">
        <f>IF(ISNUMBER(IF(N(dt_Your)=1,'Your case'!$E$7,Sensitivities!$E$114)),(IF(N(dt_Your)=1,'Your case'!$E$7,Sensitivities!$E$114)-$F$6*Inputs!$K$87-$F$7*Inputs!$K$88)/($F$8*Inputs!$K$116),Model!$F$11)</f>
        <v>0.19209999999999999</v>
      </c>
      <c r="Q9" s="10" t="s">
        <v>2121</v>
      </c>
    </row>
    <row r="10" spans="1:17" x14ac:dyDescent="0.2">
      <c r="D10" s="10" t="s">
        <v>1237</v>
      </c>
      <c r="E10" s="10" t="s">
        <v>827</v>
      </c>
      <c r="F10" s="124">
        <f>Model!$F$12</f>
        <v>2029.17</v>
      </c>
    </row>
    <row r="11" spans="1:17" x14ac:dyDescent="0.2">
      <c r="D11" s="10" t="s">
        <v>1385</v>
      </c>
      <c r="E11" s="10" t="s">
        <v>54</v>
      </c>
      <c r="F11" s="102">
        <f>IF(ISNUMBER(Sensitivities!$E$118),Sensitivities!$E$118,Inputs!$K$15)</f>
        <v>0.4</v>
      </c>
      <c r="Q11" s="10" t="s">
        <v>2122</v>
      </c>
    </row>
    <row r="12" spans="1:17" ht="25.5" x14ac:dyDescent="0.2">
      <c r="D12" s="45" t="s">
        <v>1877</v>
      </c>
      <c r="E12" s="10" t="s">
        <v>47</v>
      </c>
      <c r="F12" s="92">
        <f>IF(ABS(IF(ABS(P24)&lt;0.000001,P24,P24-(1-EXP(-P24*$H$12)-0.5*(1-EXP(-P24*$F$24)))*(1-EXP(-P24*$F$24))/($H$12*EXP(-P24*$H$12)*(1-EXP(-P24*$F$24))-$F$24*EXP(-P24*$F$24)*(1-EXP(-P24*$H$12)))))&lt;0.000001,0.000001,IF(ABS(P24)&lt;0.000001,P24,P24-(1-EXP(-P24*$H$12)-0.5*(1-EXP(-P24*$F$24)))*(1-EXP(-P24*$F$24))/($H$12*EXP(-P24*$H$12)*(1-EXP(-P24*$F$24))-$F$24*EXP(-P24*$F$24)*(1-EXP(-P24*$H$12)))))</f>
        <v>0.19870633206014912</v>
      </c>
      <c r="G12" s="7" t="s">
        <v>1876</v>
      </c>
      <c r="H12" s="83">
        <f>MEDIAN(Inputs!$K$29,Inputs!$K$30,$F$10)+0.5-2026.875</f>
        <v>2.7950000000000728</v>
      </c>
    </row>
    <row r="13" spans="1:17" x14ac:dyDescent="0.2">
      <c r="D13" s="10" t="s">
        <v>1238</v>
      </c>
      <c r="E13" s="10" t="s">
        <v>54</v>
      </c>
      <c r="F13" s="103">
        <f>Inputs!$K$17</f>
        <v>0.25</v>
      </c>
    </row>
    <row r="14" spans="1:17" x14ac:dyDescent="0.2">
      <c r="D14" s="10" t="s">
        <v>1239</v>
      </c>
      <c r="E14" s="10" t="s">
        <v>54</v>
      </c>
      <c r="F14" s="102">
        <f>IF(ISNUMBER(Sensitivities!$E$116),Sensitivities!$E$116,Inputs!$K$18)</f>
        <v>0.4</v>
      </c>
      <c r="Q14" s="10" t="s">
        <v>2123</v>
      </c>
    </row>
    <row r="15" spans="1:17" ht="25.5" x14ac:dyDescent="0.2">
      <c r="D15" s="10" t="s">
        <v>1977</v>
      </c>
      <c r="E15" s="10" t="s">
        <v>47</v>
      </c>
      <c r="F15" s="83">
        <f>IF(ISNUMBER(IF(N(dt_Your)=1,Sensitivities!$E$523,Sensitivities!$E$115)),IF(N(dt_Your)=1,Sensitivities!$E$523,Sensitivities!$E$115)/($F$14*Inputs!$K$19+(1-$F$14)*Inputs!$K$20),1)</f>
        <v>1</v>
      </c>
      <c r="Q15" s="45" t="s">
        <v>2124</v>
      </c>
    </row>
    <row r="16" spans="1:17" x14ac:dyDescent="0.2">
      <c r="D16" s="10" t="s">
        <v>1240</v>
      </c>
      <c r="E16" s="10" t="s">
        <v>54</v>
      </c>
      <c r="F16" s="102">
        <f>MIN(1,Inputs!$K$19*$F$15)</f>
        <v>0.6</v>
      </c>
    </row>
    <row r="17" spans="2:17" x14ac:dyDescent="0.2">
      <c r="D17" s="10" t="s">
        <v>1241</v>
      </c>
      <c r="E17" s="10" t="s">
        <v>54</v>
      </c>
      <c r="F17" s="102">
        <f>MIN(1,Inputs!$K$20*$F$15)</f>
        <v>0.35</v>
      </c>
    </row>
    <row r="18" spans="2:17" x14ac:dyDescent="0.2">
      <c r="D18" s="10" t="s">
        <v>1242</v>
      </c>
      <c r="E18" s="10" t="s">
        <v>54</v>
      </c>
      <c r="F18" s="103">
        <f>Model!$F$32</f>
        <v>0.12</v>
      </c>
    </row>
    <row r="19" spans="2:17" x14ac:dyDescent="0.2">
      <c r="D19" s="10" t="s">
        <v>1243</v>
      </c>
      <c r="E19" s="10" t="s">
        <v>54</v>
      </c>
      <c r="F19" s="103">
        <f>Inputs!$K$22</f>
        <v>0.37</v>
      </c>
    </row>
    <row r="20" spans="2:17" x14ac:dyDescent="0.2">
      <c r="D20" s="10" t="s">
        <v>1223</v>
      </c>
      <c r="E20" s="10" t="s">
        <v>54</v>
      </c>
      <c r="F20" s="103">
        <f>Inputs!$K$23</f>
        <v>0.26</v>
      </c>
    </row>
    <row r="21" spans="2:17" x14ac:dyDescent="0.2">
      <c r="D21" s="10" t="s">
        <v>1244</v>
      </c>
      <c r="E21" s="10" t="s">
        <v>54</v>
      </c>
      <c r="F21" s="103">
        <f>Model!$F$14</f>
        <v>0.2</v>
      </c>
    </row>
    <row r="22" spans="2:17" x14ac:dyDescent="0.2">
      <c r="D22" s="10" t="s">
        <v>1245</v>
      </c>
      <c r="E22" s="10" t="s">
        <v>54</v>
      </c>
      <c r="F22" s="93">
        <f>Inputs!$K$139</f>
        <v>0.14343005425807973</v>
      </c>
    </row>
    <row r="23" spans="2:17" x14ac:dyDescent="0.2">
      <c r="D23" s="10" t="s">
        <v>1246</v>
      </c>
      <c r="E23" s="10" t="s">
        <v>59</v>
      </c>
      <c r="F23" s="111">
        <f>Inputs!$K$137</f>
        <v>6</v>
      </c>
    </row>
    <row r="24" spans="2:17" x14ac:dyDescent="0.2">
      <c r="D24" s="10" t="s">
        <v>1369</v>
      </c>
      <c r="E24" s="10" t="s">
        <v>833</v>
      </c>
      <c r="F24" s="83">
        <f>2036.5-2026.875</f>
        <v>9.625</v>
      </c>
      <c r="G24" s="10" t="s">
        <v>1878</v>
      </c>
      <c r="H24" s="10">
        <f>(0.5-$H$12/$F$24)*2/($F$24*($H$12/$F$24)*(1-$H$12/$F$24))</f>
        <v>0.21136886879675806</v>
      </c>
      <c r="I24" s="10">
        <f t="shared" ref="I24:P24" si="0">IF(ABS(H24)&lt;0.000001,H24,H24-(1-EXP(-H24*$H$12)-0.5*(1-EXP(-H24*$F$24)))*(1-EXP(-H24*$F$24))/($H$12*EXP(-H24*$H$12)*(1-EXP(-H24*$F$24))-$F$24*EXP(-H24*$F$24)*(1-EXP(-H24*$H$12))))</f>
        <v>0.19864470740064108</v>
      </c>
      <c r="J24" s="10">
        <f t="shared" si="0"/>
        <v>0.19870633074124922</v>
      </c>
      <c r="K24" s="10">
        <f t="shared" si="0"/>
        <v>0.19870633206014912</v>
      </c>
      <c r="L24" s="10">
        <f t="shared" si="0"/>
        <v>0.19870633206014912</v>
      </c>
      <c r="M24" s="10">
        <f t="shared" si="0"/>
        <v>0.19870633206014912</v>
      </c>
      <c r="N24" s="10">
        <f t="shared" si="0"/>
        <v>0.19870633206014912</v>
      </c>
      <c r="O24" s="10">
        <f t="shared" si="0"/>
        <v>0.19870633206014912</v>
      </c>
      <c r="P24" s="10">
        <f t="shared" si="0"/>
        <v>0.19870633206014912</v>
      </c>
    </row>
    <row r="25" spans="2:17" x14ac:dyDescent="0.2">
      <c r="B25" s="5" t="s">
        <v>8</v>
      </c>
      <c r="C25" s="5" t="s">
        <v>8</v>
      </c>
      <c r="D25" s="6" t="s">
        <v>1247</v>
      </c>
      <c r="E25" s="95"/>
      <c r="F25" s="95"/>
      <c r="G25" s="95"/>
      <c r="H25" s="95"/>
      <c r="I25" s="95"/>
      <c r="J25" s="95"/>
      <c r="K25" s="95"/>
      <c r="L25" s="95"/>
      <c r="M25" s="95"/>
      <c r="N25" s="95"/>
      <c r="O25" s="95"/>
      <c r="P25" s="95"/>
      <c r="Q25" s="95"/>
    </row>
    <row r="26" spans="2:17" x14ac:dyDescent="0.2">
      <c r="D26" s="10" t="s">
        <v>1248</v>
      </c>
      <c r="E26" s="10" t="s">
        <v>827</v>
      </c>
      <c r="F26" s="139">
        <v>2026</v>
      </c>
      <c r="G26" s="112">
        <v>2027</v>
      </c>
      <c r="H26" s="112">
        <v>2028</v>
      </c>
      <c r="I26" s="112">
        <v>2029</v>
      </c>
      <c r="J26" s="112">
        <v>2030</v>
      </c>
      <c r="K26" s="112">
        <v>2031</v>
      </c>
      <c r="L26" s="112">
        <v>2032</v>
      </c>
      <c r="M26" s="112">
        <v>2033</v>
      </c>
      <c r="N26" s="112">
        <v>2034</v>
      </c>
      <c r="O26" s="112">
        <v>2035</v>
      </c>
      <c r="P26" s="112">
        <v>2036</v>
      </c>
    </row>
    <row r="27" spans="2:17" ht="25.5" x14ac:dyDescent="0.2">
      <c r="D27" s="45" t="s">
        <v>1370</v>
      </c>
      <c r="E27" s="10" t="s">
        <v>1249</v>
      </c>
      <c r="F27" s="113">
        <f t="shared" ref="F27:P27" si="1">(1-EXP(-$F$12*IF(F$26=2026,0,F$26+0.5-2026.875)))/(1-EXP(-$F$12*$F$24))</f>
        <v>0</v>
      </c>
      <c r="G27" s="113">
        <f t="shared" si="1"/>
        <v>0.13702892313105794</v>
      </c>
      <c r="H27" s="113">
        <f t="shared" si="1"/>
        <v>0.32377481504980521</v>
      </c>
      <c r="I27" s="113">
        <f t="shared" si="1"/>
        <v>0.47686734261858493</v>
      </c>
      <c r="J27" s="113">
        <f t="shared" si="1"/>
        <v>0.60237115829339016</v>
      </c>
      <c r="K27" s="113">
        <f t="shared" si="1"/>
        <v>0.7052580071754101</v>
      </c>
      <c r="L27" s="113">
        <f t="shared" si="1"/>
        <v>0.78960367918509922</v>
      </c>
      <c r="M27" s="113">
        <f t="shared" si="1"/>
        <v>0.85874946860395762</v>
      </c>
      <c r="N27" s="113">
        <f t="shared" si="1"/>
        <v>0.91543453708984113</v>
      </c>
      <c r="O27" s="113">
        <f t="shared" si="1"/>
        <v>0.96190442363325768</v>
      </c>
      <c r="P27" s="113">
        <f t="shared" si="1"/>
        <v>1</v>
      </c>
    </row>
    <row r="28" spans="2:17" x14ac:dyDescent="0.2">
      <c r="D28" s="45" t="s">
        <v>1429</v>
      </c>
      <c r="E28" s="10" t="s">
        <v>54</v>
      </c>
      <c r="F28" s="117">
        <f>Inputs!$K$123+($F$11-Inputs!$K$123)*F27</f>
        <v>0.26139689453112702</v>
      </c>
      <c r="G28" s="117">
        <f>Inputs!$K$123+($F$11-Inputs!$K$123)*G27</f>
        <v>0.28038952881614715</v>
      </c>
      <c r="H28" s="117">
        <f>Inputs!$K$123+($F$11-Inputs!$K$123)*H27</f>
        <v>0.30627308936964004</v>
      </c>
      <c r="I28" s="117">
        <f>Inputs!$K$123+($F$11-Inputs!$K$123)*I27</f>
        <v>0.32749218911475197</v>
      </c>
      <c r="J28" s="117">
        <f>Inputs!$K$123+($F$11-Inputs!$K$123)*J27</f>
        <v>0.34488740771547299</v>
      </c>
      <c r="K28" s="117">
        <f>Inputs!$K$123+($F$11-Inputs!$K$123)*K27</f>
        <v>0.35914784448242759</v>
      </c>
      <c r="L28" s="117">
        <f>Inputs!$K$123+($F$11-Inputs!$K$123)*L27</f>
        <v>0.3708384165558295</v>
      </c>
      <c r="M28" s="117">
        <f>Inputs!$K$123+($F$11-Inputs!$K$123)*M27</f>
        <v>0.38042223769937999</v>
      </c>
      <c r="N28" s="117">
        <f>Inputs!$K$123+($F$11-Inputs!$K$123)*N27</f>
        <v>0.38827896422523922</v>
      </c>
      <c r="O28" s="117">
        <f>Inputs!$K$123+($F$11-Inputs!$K$123)*O27</f>
        <v>0.39471983481094297</v>
      </c>
      <c r="P28" s="117">
        <f>Inputs!$K$123+($F$11-Inputs!$K$123)*P27</f>
        <v>0.4</v>
      </c>
      <c r="Q28" s="45" t="s">
        <v>2191</v>
      </c>
    </row>
    <row r="29" spans="2:17" ht="25.5" x14ac:dyDescent="0.2">
      <c r="D29" s="45" t="s">
        <v>1452</v>
      </c>
      <c r="E29" s="10" t="s">
        <v>1249</v>
      </c>
      <c r="F29" s="113">
        <f>Inputs!$K$204*MAX(0,MIN(1,(F$26-Inputs!$K$202)/(Inputs!$K$203-Inputs!$K$202)))+(1-Inputs!$K$204)*(3*MAX(0,MIN(1,(F$26-Inputs!$K$202)/(Inputs!$K$203-Inputs!$K$202)))^2-2*MAX(0,MIN(1,(F$26-Inputs!$K$202)/(Inputs!$K$203-Inputs!$K$202)))^3)</f>
        <v>0</v>
      </c>
      <c r="G29" s="113">
        <f>Inputs!$K$204*MAX(0,MIN(1,(G$26-Inputs!$K$202)/(Inputs!$K$203-Inputs!$K$202)))+(1-Inputs!$K$204)*(3*MAX(0,MIN(1,(G$26-Inputs!$K$202)/(Inputs!$K$203-Inputs!$K$202)))^2-2*MAX(0,MIN(1,(G$26-Inputs!$K$202)/(Inputs!$K$203-Inputs!$K$202)))^3)</f>
        <v>0</v>
      </c>
      <c r="H29" s="113">
        <f>Inputs!$K$204*MAX(0,MIN(1,(H$26-Inputs!$K$202)/(Inputs!$K$203-Inputs!$K$202)))+(1-Inputs!$K$204)*(3*MAX(0,MIN(1,(H$26-Inputs!$K$202)/(Inputs!$K$203-Inputs!$K$202)))^2-2*MAX(0,MIN(1,(H$26-Inputs!$K$202)/(Inputs!$K$203-Inputs!$K$202)))^3)</f>
        <v>0</v>
      </c>
      <c r="I29" s="113">
        <f>Inputs!$K$204*MAX(0,MIN(1,(I$26-Inputs!$K$202)/(Inputs!$K$203-Inputs!$K$202)))+(1-Inputs!$K$204)*(3*MAX(0,MIN(1,(I$26-Inputs!$K$202)/(Inputs!$K$203-Inputs!$K$202)))^2-2*MAX(0,MIN(1,(I$26-Inputs!$K$202)/(Inputs!$K$203-Inputs!$K$202)))^3)</f>
        <v>5.1171875000000006E-2</v>
      </c>
      <c r="J29" s="113">
        <f>Inputs!$K$204*MAX(0,MIN(1,(J$26-Inputs!$K$202)/(Inputs!$K$203-Inputs!$K$202)))+(1-Inputs!$K$204)*(3*MAX(0,MIN(1,(J$26-Inputs!$K$202)/(Inputs!$K$203-Inputs!$K$202)))^2-2*MAX(0,MIN(1,(J$26-Inputs!$K$202)/(Inputs!$K$203-Inputs!$K$202)))^3)</f>
        <v>0.16562499999999999</v>
      </c>
      <c r="K29" s="113">
        <f>Inputs!$K$204*MAX(0,MIN(1,(K$26-Inputs!$K$202)/(Inputs!$K$203-Inputs!$K$202)))+(1-Inputs!$K$204)*(3*MAX(0,MIN(1,(K$26-Inputs!$K$202)/(Inputs!$K$203-Inputs!$K$202)))^2-2*MAX(0,MIN(1,(K$26-Inputs!$K$202)/(Inputs!$K$203-Inputs!$K$202)))^3)</f>
        <v>0.322265625</v>
      </c>
      <c r="L29" s="113">
        <f>Inputs!$K$204*MAX(0,MIN(1,(L$26-Inputs!$K$202)/(Inputs!$K$203-Inputs!$K$202)))+(1-Inputs!$K$204)*(3*MAX(0,MIN(1,(L$26-Inputs!$K$202)/(Inputs!$K$203-Inputs!$K$202)))^2-2*MAX(0,MIN(1,(L$26-Inputs!$K$202)/(Inputs!$K$203-Inputs!$K$202)))^3)</f>
        <v>0.5</v>
      </c>
      <c r="M29" s="113">
        <f>Inputs!$K$204*MAX(0,MIN(1,(M$26-Inputs!$K$202)/(Inputs!$K$203-Inputs!$K$202)))+(1-Inputs!$K$204)*(3*MAX(0,MIN(1,(M$26-Inputs!$K$202)/(Inputs!$K$203-Inputs!$K$202)))^2-2*MAX(0,MIN(1,(M$26-Inputs!$K$202)/(Inputs!$K$203-Inputs!$K$202)))^3)</f>
        <v>0.677734375</v>
      </c>
      <c r="N29" s="113">
        <f>Inputs!$K$204*MAX(0,MIN(1,(N$26-Inputs!$K$202)/(Inputs!$K$203-Inputs!$K$202)))+(1-Inputs!$K$204)*(3*MAX(0,MIN(1,(N$26-Inputs!$K$202)/(Inputs!$K$203-Inputs!$K$202)))^2-2*MAX(0,MIN(1,(N$26-Inputs!$K$202)/(Inputs!$K$203-Inputs!$K$202)))^3)</f>
        <v>0.83437500000000009</v>
      </c>
      <c r="O29" s="113">
        <f>Inputs!$K$204*MAX(0,MIN(1,(O$26-Inputs!$K$202)/(Inputs!$K$203-Inputs!$K$202)))+(1-Inputs!$K$204)*(3*MAX(0,MIN(1,(O$26-Inputs!$K$202)/(Inputs!$K$203-Inputs!$K$202)))^2-2*MAX(0,MIN(1,(O$26-Inputs!$K$202)/(Inputs!$K$203-Inputs!$K$202)))^3)</f>
        <v>0.94882812500000002</v>
      </c>
      <c r="P29" s="113">
        <f>Inputs!$K$204*MAX(0,MIN(1,(P$26-Inputs!$K$202)/(Inputs!$K$203-Inputs!$K$202)))+(1-Inputs!$K$204)*(3*MAX(0,MIN(1,(P$26-Inputs!$K$202)/(Inputs!$K$203-Inputs!$K$202)))^2-2*MAX(0,MIN(1,(P$26-Inputs!$K$202)/(Inputs!$K$203-Inputs!$K$202)))^3)</f>
        <v>1</v>
      </c>
    </row>
    <row r="30" spans="2:17" ht="25.5" x14ac:dyDescent="0.2">
      <c r="D30" s="45" t="s">
        <v>1428</v>
      </c>
      <c r="E30" s="10" t="s">
        <v>54</v>
      </c>
      <c r="F30" s="118">
        <f>IF(N(dt_Case)=Sensitivities!$L$51,Inputs!$K$200-$F$9,0)*F29</f>
        <v>0</v>
      </c>
      <c r="G30" s="118">
        <f>IF(N(dt_Case)=Sensitivities!$L$51,Inputs!$K$200-$F$9,0)*G29</f>
        <v>0</v>
      </c>
      <c r="H30" s="118">
        <f>IF(N(dt_Case)=Sensitivities!$L$51,Inputs!$K$200-$F$9,0)*H29</f>
        <v>0</v>
      </c>
      <c r="I30" s="118">
        <f>IF(N(dt_Case)=Sensitivities!$L$51,Inputs!$K$200-$F$9,0)*I29</f>
        <v>0</v>
      </c>
      <c r="J30" s="118">
        <f>IF(N(dt_Case)=Sensitivities!$L$51,Inputs!$K$200-$F$9,0)*J29</f>
        <v>0</v>
      </c>
      <c r="K30" s="118">
        <f>IF(N(dt_Case)=Sensitivities!$L$51,Inputs!$K$200-$F$9,0)*K29</f>
        <v>0</v>
      </c>
      <c r="L30" s="118">
        <f>IF(N(dt_Case)=Sensitivities!$L$51,Inputs!$K$200-$F$9,0)*L29</f>
        <v>0</v>
      </c>
      <c r="M30" s="118">
        <f>IF(N(dt_Case)=Sensitivities!$L$51,Inputs!$K$200-$F$9,0)*M29</f>
        <v>0</v>
      </c>
      <c r="N30" s="118">
        <f>IF(N(dt_Case)=Sensitivities!$L$51,Inputs!$K$200-$F$9,0)*N29</f>
        <v>0</v>
      </c>
      <c r="O30" s="118">
        <f>IF(N(dt_Case)=Sensitivities!$L$51,Inputs!$K$200-$F$9,0)*O29</f>
        <v>0</v>
      </c>
      <c r="P30" s="118">
        <f>IF(N(dt_Case)=Sensitivities!$L$51,Inputs!$K$200-$F$9,0)*P29</f>
        <v>0</v>
      </c>
    </row>
    <row r="31" spans="2:17" x14ac:dyDescent="0.2">
      <c r="D31" s="10" t="s">
        <v>1250</v>
      </c>
      <c r="E31" s="10" t="s">
        <v>1141</v>
      </c>
      <c r="F31" s="115">
        <f>Inputs!$K$75*(1+Inputs!$K$82)^(F$26-2025)</f>
        <v>74.088599999999985</v>
      </c>
      <c r="G31" s="115">
        <f>Inputs!$K$75*(1+Inputs!$K$82)^(G$26-2025)</f>
        <v>74.45904299999998</v>
      </c>
      <c r="H31" s="115">
        <f>Inputs!$K$75*(1+Inputs!$K$82)^(H$26-2025)</f>
        <v>74.831338214999974</v>
      </c>
      <c r="I31" s="115">
        <f>Inputs!$K$75*(1+Inputs!$K$82)^(I$26-2025)</f>
        <v>75.205494906074946</v>
      </c>
      <c r="J31" s="115">
        <f>Inputs!$K$75*(1+Inputs!$K$82)^(J$26-2025)</f>
        <v>75.581522380605307</v>
      </c>
      <c r="K31" s="115">
        <f>Inputs!$K$75*(1+Inputs!$K$82)^(K$26-2025)</f>
        <v>75.959429992508319</v>
      </c>
      <c r="L31" s="115">
        <f>Inputs!$K$75*(1+Inputs!$K$82)^(L$26-2025)</f>
        <v>76.339227142470861</v>
      </c>
      <c r="M31" s="115">
        <f>Inputs!$K$75*(1+Inputs!$K$82)^(M$26-2025)</f>
        <v>76.720923278183207</v>
      </c>
      <c r="N31" s="115">
        <f>Inputs!$K$75*(1+Inputs!$K$82)^(N$26-2025)</f>
        <v>77.104527894574119</v>
      </c>
      <c r="O31" s="115">
        <f>Inputs!$K$75*(1+Inputs!$K$82)^(O$26-2025)</f>
        <v>77.490050534046972</v>
      </c>
      <c r="P31" s="115">
        <f>Inputs!$K$75*(1+Inputs!$K$82)^(P$26-2025)</f>
        <v>77.877500786717206</v>
      </c>
    </row>
    <row r="32" spans="2:17" x14ac:dyDescent="0.2">
      <c r="D32" s="10" t="s">
        <v>1251</v>
      </c>
      <c r="E32" s="10" t="s">
        <v>1141</v>
      </c>
      <c r="F32" s="115">
        <f>Inputs!$K$77*(1+Inputs!$K$82)^(F$26-2025)</f>
        <v>191.93489999999997</v>
      </c>
      <c r="G32" s="115">
        <f>Inputs!$K$77*(1+Inputs!$K$82)^(G$26-2025)</f>
        <v>192.89457449999995</v>
      </c>
      <c r="H32" s="115">
        <f>Inputs!$K$77*(1+Inputs!$K$82)^(H$26-2025)</f>
        <v>193.85904737249993</v>
      </c>
      <c r="I32" s="115">
        <f>Inputs!$K$77*(1+Inputs!$K$82)^(I$26-2025)</f>
        <v>194.82834260936235</v>
      </c>
      <c r="J32" s="115">
        <f>Inputs!$K$77*(1+Inputs!$K$82)^(J$26-2025)</f>
        <v>195.80248432240913</v>
      </c>
      <c r="K32" s="115">
        <f>Inputs!$K$77*(1+Inputs!$K$82)^(K$26-2025)</f>
        <v>196.78149674402115</v>
      </c>
      <c r="L32" s="115">
        <f>Inputs!$K$77*(1+Inputs!$K$82)^(L$26-2025)</f>
        <v>197.76540422774124</v>
      </c>
      <c r="M32" s="115">
        <f>Inputs!$K$77*(1+Inputs!$K$82)^(M$26-2025)</f>
        <v>198.75423124887993</v>
      </c>
      <c r="N32" s="115">
        <f>Inputs!$K$77*(1+Inputs!$K$82)^(N$26-2025)</f>
        <v>199.74800240512431</v>
      </c>
      <c r="O32" s="115">
        <f>Inputs!$K$77*(1+Inputs!$K$82)^(O$26-2025)</f>
        <v>200.7467424171499</v>
      </c>
      <c r="P32" s="115">
        <f>Inputs!$K$77*(1+Inputs!$K$82)^(P$26-2025)</f>
        <v>201.75047612923564</v>
      </c>
    </row>
    <row r="33" spans="4:16" x14ac:dyDescent="0.2">
      <c r="D33" s="10" t="s">
        <v>1252</v>
      </c>
      <c r="E33" s="10" t="s">
        <v>114</v>
      </c>
      <c r="F33" s="116">
        <f>Inputs!$K$80*(1+Inputs!$K$83)^(F$26-2025)/12</f>
        <v>7937.0591427021145</v>
      </c>
      <c r="G33" s="116">
        <f>Inputs!$K$80*(1+Inputs!$K$83)^(G$26-2025)/12</f>
        <v>8214.8562126966881</v>
      </c>
      <c r="H33" s="116">
        <f>Inputs!$K$80*(1+Inputs!$K$83)^(H$26-2025)/12</f>
        <v>8502.376180141071</v>
      </c>
      <c r="I33" s="116">
        <f>Inputs!$K$80*(1+Inputs!$K$83)^(I$26-2025)/12</f>
        <v>8799.9593464460086</v>
      </c>
      <c r="J33" s="116">
        <f>Inputs!$K$80*(1+Inputs!$K$83)^(J$26-2025)/12</f>
        <v>9107.9579235716174</v>
      </c>
      <c r="K33" s="116">
        <f>Inputs!$K$80*(1+Inputs!$K$83)^(K$26-2025)/12</f>
        <v>9426.7364508966257</v>
      </c>
      <c r="L33" s="116">
        <f>Inputs!$K$80*(1+Inputs!$K$83)^(L$26-2025)/12</f>
        <v>9756.6722266780071</v>
      </c>
      <c r="M33" s="116">
        <f>Inputs!$K$80*(1+Inputs!$K$83)^(M$26-2025)/12</f>
        <v>10098.155754611735</v>
      </c>
      <c r="N33" s="116">
        <f>Inputs!$K$80*(1+Inputs!$K$83)^(N$26-2025)/12</f>
        <v>10451.591206023144</v>
      </c>
      <c r="O33" s="116">
        <f>Inputs!$K$80*(1+Inputs!$K$83)^(O$26-2025)/12</f>
        <v>10817.396898233952</v>
      </c>
      <c r="P33" s="116">
        <f>Inputs!$K$80*(1+Inputs!$K$83)^(P$26-2025)/12</f>
        <v>11196.005789672141</v>
      </c>
    </row>
    <row r="34" spans="4:16" x14ac:dyDescent="0.2">
      <c r="D34" s="10" t="s">
        <v>1253</v>
      </c>
      <c r="E34" s="10" t="s">
        <v>114</v>
      </c>
      <c r="F34" s="116">
        <f>Inputs!$K$81*(1+Inputs!$K$83)^(F$26-2025)/12</f>
        <v>4819.2153628652213</v>
      </c>
      <c r="G34" s="116">
        <f>Inputs!$K$81*(1+Inputs!$K$83)^(G$26-2025)/12</f>
        <v>4987.8879005655044</v>
      </c>
      <c r="H34" s="116">
        <f>Inputs!$K$81*(1+Inputs!$K$83)^(H$26-2025)/12</f>
        <v>5162.4639770852964</v>
      </c>
      <c r="I34" s="116">
        <f>Inputs!$K$81*(1+Inputs!$K$83)^(I$26-2025)/12</f>
        <v>5343.1502162832812</v>
      </c>
      <c r="J34" s="116">
        <f>Inputs!$K$81*(1+Inputs!$K$83)^(J$26-2025)/12</f>
        <v>5530.160473853196</v>
      </c>
      <c r="K34" s="116">
        <f>Inputs!$K$81*(1+Inputs!$K$83)^(K$26-2025)/12</f>
        <v>5723.716090438058</v>
      </c>
      <c r="L34" s="116">
        <f>Inputs!$K$81*(1+Inputs!$K$83)^(L$26-2025)/12</f>
        <v>5924.0461536033881</v>
      </c>
      <c r="M34" s="116">
        <f>Inputs!$K$81*(1+Inputs!$K$83)^(M$26-2025)/12</f>
        <v>6131.3877689795072</v>
      </c>
      <c r="N34" s="116">
        <f>Inputs!$K$81*(1+Inputs!$K$83)^(N$26-2025)/12</f>
        <v>6345.9863408937881</v>
      </c>
      <c r="O34" s="116">
        <f>Inputs!$K$81*(1+Inputs!$K$83)^(O$26-2025)/12</f>
        <v>6568.0958628250701</v>
      </c>
      <c r="P34" s="116">
        <f>Inputs!$K$81*(1+Inputs!$K$83)^(P$26-2025)/12</f>
        <v>6797.9792180239483</v>
      </c>
    </row>
    <row r="35" spans="4:16" x14ac:dyDescent="0.2">
      <c r="D35" s="10" t="s">
        <v>1254</v>
      </c>
      <c r="E35" s="10" t="s">
        <v>47</v>
      </c>
      <c r="F35" s="113">
        <f>(1+Inputs!$K$83)^(F$26-2026)</f>
        <v>1</v>
      </c>
      <c r="G35" s="113">
        <f>(1+Inputs!$K$83)^(G$26-2026)</f>
        <v>1.0349999999999999</v>
      </c>
      <c r="H35" s="113">
        <f>(1+Inputs!$K$83)^(H$26-2026)</f>
        <v>1.0712249999999999</v>
      </c>
      <c r="I35" s="113">
        <f>(1+Inputs!$K$83)^(I$26-2026)</f>
        <v>1.1087178749999997</v>
      </c>
      <c r="J35" s="113">
        <f>(1+Inputs!$K$83)^(J$26-2026)</f>
        <v>1.1475230006249997</v>
      </c>
      <c r="K35" s="113">
        <f>(1+Inputs!$K$83)^(K$26-2026)</f>
        <v>1.1876863056468745</v>
      </c>
      <c r="L35" s="113">
        <f>(1+Inputs!$K$83)^(L$26-2026)</f>
        <v>1.2292553263445152</v>
      </c>
      <c r="M35" s="113">
        <f>(1+Inputs!$K$83)^(M$26-2026)</f>
        <v>1.2722792627665731</v>
      </c>
      <c r="N35" s="113">
        <f>(1+Inputs!$K$83)^(N$26-2026)</f>
        <v>1.3168090369634029</v>
      </c>
      <c r="O35" s="113">
        <f>(1+Inputs!$K$83)^(O$26-2026)</f>
        <v>1.3628973532571218</v>
      </c>
      <c r="P35" s="113">
        <f>(1+Inputs!$K$83)^(P$26-2026)</f>
        <v>1.410598760621121</v>
      </c>
    </row>
    <row r="36" spans="4:16" x14ac:dyDescent="0.2">
      <c r="D36" s="10" t="s">
        <v>1255</v>
      </c>
      <c r="E36" s="10" t="s">
        <v>54</v>
      </c>
      <c r="F36" s="117">
        <f>Inputs!$K$90+($F$6-Inputs!$K$90)*F$27</f>
        <v>0.32956941876881873</v>
      </c>
      <c r="G36" s="117">
        <f>Inputs!$K$90+($F$6-Inputs!$K$90)*G$27</f>
        <v>0.31181466084421039</v>
      </c>
      <c r="H36" s="117">
        <f>Inputs!$K$90+($F$6-Inputs!$K$90)*H$27</f>
        <v>0.28761810417083367</v>
      </c>
      <c r="I36" s="117">
        <f>Inputs!$K$90+($F$6-Inputs!$K$90)*I$27</f>
        <v>0.26778199435589756</v>
      </c>
      <c r="J36" s="117">
        <f>Inputs!$K$90+($F$6-Inputs!$K$90)*J$27</f>
        <v>0.2515205379056441</v>
      </c>
      <c r="K36" s="117">
        <f>Inputs!$K$90+($F$6-Inputs!$K$90)*K$27</f>
        <v>0.23818954869704545</v>
      </c>
      <c r="L36" s="117">
        <f>Inputs!$K$90+($F$6-Inputs!$K$90)*L$27</f>
        <v>0.22726092899908462</v>
      </c>
      <c r="M36" s="117">
        <f>Inputs!$K$90+($F$6-Inputs!$K$90)*M$27</f>
        <v>0.21830174925377199</v>
      </c>
      <c r="N36" s="117">
        <f>Inputs!$K$90+($F$6-Inputs!$K$90)*N$27</f>
        <v>0.21095709787718539</v>
      </c>
      <c r="O36" s="117">
        <f>Inputs!$K$90+($F$6-Inputs!$K$90)*O$27</f>
        <v>0.20493602168750197</v>
      </c>
      <c r="P36" s="117">
        <f>Inputs!$K$90+($F$6-Inputs!$K$90)*P$27</f>
        <v>0.2</v>
      </c>
    </row>
    <row r="37" spans="4:16" x14ac:dyDescent="0.2">
      <c r="D37" s="10" t="s">
        <v>1256</v>
      </c>
      <c r="E37" s="10" t="s">
        <v>54</v>
      </c>
      <c r="F37" s="117">
        <f>Inputs!$K$119+($F$7-Inputs!$K$119)*F$27</f>
        <v>0.36484871662098795</v>
      </c>
      <c r="G37" s="117">
        <f>Inputs!$K$119+($F$7-Inputs!$K$119)*G$27</f>
        <v>0.35596256681598282</v>
      </c>
      <c r="H37" s="117">
        <f>Inputs!$K$119+($F$7-Inputs!$K$119)*H$27</f>
        <v>0.34385233539081034</v>
      </c>
      <c r="I37" s="117">
        <f>Inputs!$K$119+($F$7-Inputs!$K$119)*I$27</f>
        <v>0.33392448145371179</v>
      </c>
      <c r="J37" s="117">
        <f>Inputs!$K$119+($F$7-Inputs!$K$119)*J$27</f>
        <v>0.32578572007616358</v>
      </c>
      <c r="K37" s="117">
        <f>Inputs!$K$119+($F$7-Inputs!$K$119)*K$27</f>
        <v>0.31911363996898706</v>
      </c>
      <c r="L37" s="117">
        <f>Inputs!$K$119+($F$7-Inputs!$K$119)*L$27</f>
        <v>0.31364393138662394</v>
      </c>
      <c r="M37" s="117">
        <f>Inputs!$K$119+($F$7-Inputs!$K$119)*M$27</f>
        <v>0.30915991568306589</v>
      </c>
      <c r="N37" s="117">
        <f>Inputs!$K$119+($F$7-Inputs!$K$119)*N$27</f>
        <v>0.30548396174018355</v>
      </c>
      <c r="O37" s="117">
        <f>Inputs!$K$119+($F$7-Inputs!$K$119)*O$27</f>
        <v>0.30247044923632005</v>
      </c>
      <c r="P37" s="117">
        <f>Inputs!$K$119+($F$7-Inputs!$K$119)*P$27</f>
        <v>0.3</v>
      </c>
    </row>
    <row r="38" spans="4:16" x14ac:dyDescent="0.2">
      <c r="D38" s="10" t="s">
        <v>1257</v>
      </c>
      <c r="E38" s="10" t="s">
        <v>54</v>
      </c>
      <c r="F38" s="117">
        <f>Inputs!$K$120+($F$8-Inputs!$K$120)*F$27</f>
        <v>0.20558186461019334</v>
      </c>
      <c r="G38" s="117">
        <f>Inputs!$K$120+($F$8-Inputs!$K$120)*G$27</f>
        <v>0.23907421849635968</v>
      </c>
      <c r="H38" s="117">
        <f>Inputs!$K$120+($F$8-Inputs!$K$120)*H$27</f>
        <v>0.28471830119084623</v>
      </c>
      <c r="I38" s="117">
        <f>Inputs!$K$120+($F$8-Inputs!$K$120)*I$27</f>
        <v>0.32213689132131995</v>
      </c>
      <c r="J38" s="117">
        <f>Inputs!$K$120+($F$8-Inputs!$K$120)*J$27</f>
        <v>0.35281229993286184</v>
      </c>
      <c r="K38" s="117">
        <f>Inputs!$K$120+($F$8-Inputs!$K$120)*K$27</f>
        <v>0.37795971169273801</v>
      </c>
      <c r="L38" s="117">
        <f>Inputs!$K$120+($F$8-Inputs!$K$120)*L$27</f>
        <v>0.39857532357354641</v>
      </c>
      <c r="M38" s="117">
        <f>Inputs!$K$120+($F$8-Inputs!$K$120)*M$27</f>
        <v>0.41547580849335997</v>
      </c>
      <c r="N38" s="117">
        <f>Inputs!$K$120+($F$8-Inputs!$K$120)*N$27</f>
        <v>0.4293306672371231</v>
      </c>
      <c r="O38" s="117">
        <f>Inputs!$K$120+($F$8-Inputs!$K$120)*O$27</f>
        <v>0.44068875025784088</v>
      </c>
      <c r="P38" s="117">
        <f>Inputs!$K$120+($F$8-Inputs!$K$120)*P$27</f>
        <v>0.45</v>
      </c>
    </row>
    <row r="39" spans="4:16" x14ac:dyDescent="0.2">
      <c r="D39" s="10" t="s">
        <v>1258</v>
      </c>
      <c r="E39" s="10" t="s">
        <v>54</v>
      </c>
      <c r="F39" s="117">
        <f t="shared" ref="F39:P39" si="2">1-F36-F37-F38</f>
        <v>9.9999999999999978E-2</v>
      </c>
      <c r="G39" s="117">
        <f t="shared" si="2"/>
        <v>9.3148553843447113E-2</v>
      </c>
      <c r="H39" s="117">
        <f t="shared" si="2"/>
        <v>8.3811259247509762E-2</v>
      </c>
      <c r="I39" s="117">
        <f t="shared" si="2"/>
        <v>7.6156632869070706E-2</v>
      </c>
      <c r="J39" s="117">
        <f t="shared" si="2"/>
        <v>6.9881442085330481E-2</v>
      </c>
      <c r="K39" s="117">
        <f t="shared" si="2"/>
        <v>6.4737099641229479E-2</v>
      </c>
      <c r="L39" s="117">
        <f t="shared" si="2"/>
        <v>6.0519816040745078E-2</v>
      </c>
      <c r="M39" s="117">
        <f t="shared" si="2"/>
        <v>5.7062526569802152E-2</v>
      </c>
      <c r="N39" s="117">
        <f t="shared" si="2"/>
        <v>5.4228273145507933E-2</v>
      </c>
      <c r="O39" s="117">
        <f t="shared" si="2"/>
        <v>5.190477881833705E-2</v>
      </c>
      <c r="P39" s="117">
        <f t="shared" si="2"/>
        <v>4.9999999999999989E-2</v>
      </c>
    </row>
    <row r="40" spans="4:16" x14ac:dyDescent="0.2">
      <c r="D40" s="10" t="s">
        <v>1259</v>
      </c>
      <c r="E40" s="10" t="s">
        <v>54</v>
      </c>
      <c r="F40" s="118">
        <f>Inputs!$K$89+($F$9-Inputs!$K$89)*F27+F30</f>
        <v>6.5000000000000002E-2</v>
      </c>
      <c r="G40" s="118">
        <f>Inputs!$K$89+($F$9-Inputs!$K$89)*G27+G30</f>
        <v>8.2416376129957461E-2</v>
      </c>
      <c r="H40" s="118">
        <f>Inputs!$K$89+($F$9-Inputs!$K$89)*H27+H30</f>
        <v>0.10615177899283024</v>
      </c>
      <c r="I40" s="118">
        <f>Inputs!$K$89+($F$9-Inputs!$K$89)*I27+I30</f>
        <v>0.12560983924682215</v>
      </c>
      <c r="J40" s="118">
        <f>Inputs!$K$89+($F$9-Inputs!$K$89)*J27+J30</f>
        <v>0.14156137421908987</v>
      </c>
      <c r="K40" s="118">
        <f>Inputs!$K$89+($F$9-Inputs!$K$89)*K27+K30</f>
        <v>0.15463829271199461</v>
      </c>
      <c r="L40" s="118">
        <f>Inputs!$K$89+($F$9-Inputs!$K$89)*L27+L30</f>
        <v>0.1653586276244261</v>
      </c>
      <c r="M40" s="118">
        <f>Inputs!$K$89+($F$9-Inputs!$K$89)*M27+M30</f>
        <v>0.17414705745956299</v>
      </c>
      <c r="N40" s="118">
        <f>Inputs!$K$89+($F$9-Inputs!$K$89)*N27+N30</f>
        <v>0.1813517296641188</v>
      </c>
      <c r="O40" s="118">
        <f>Inputs!$K$89+($F$9-Inputs!$K$89)*O27+O30</f>
        <v>0.18725805224378705</v>
      </c>
      <c r="P40" s="118">
        <f>Inputs!$K$89+($F$9-Inputs!$K$89)*P27+P30</f>
        <v>0.19209999999999999</v>
      </c>
    </row>
    <row r="41" spans="4:16" x14ac:dyDescent="0.2">
      <c r="D41" s="10" t="s">
        <v>1260</v>
      </c>
      <c r="E41" s="10" t="s">
        <v>54</v>
      </c>
      <c r="F41" s="117">
        <f>Inputs!$K$105+($F$13-Inputs!$K$105)*F$27</f>
        <v>0.24</v>
      </c>
      <c r="G41" s="117">
        <f>Inputs!$K$105+($F$13-Inputs!$K$105)*G$27</f>
        <v>0.24137028923131057</v>
      </c>
      <c r="H41" s="117">
        <f>Inputs!$K$105+($F$13-Inputs!$K$105)*H$27</f>
        <v>0.24323774815049803</v>
      </c>
      <c r="I41" s="117">
        <f>Inputs!$K$105+($F$13-Inputs!$K$105)*I$27</f>
        <v>0.24476867342618586</v>
      </c>
      <c r="J41" s="117">
        <f>Inputs!$K$105+($F$13-Inputs!$K$105)*J$27</f>
        <v>0.2460237115829339</v>
      </c>
      <c r="K41" s="117">
        <f>Inputs!$K$105+($F$13-Inputs!$K$105)*K$27</f>
        <v>0.2470525800717541</v>
      </c>
      <c r="L41" s="117">
        <f>Inputs!$K$105+($F$13-Inputs!$K$105)*L$27</f>
        <v>0.24789603679185099</v>
      </c>
      <c r="M41" s="117">
        <f>Inputs!$K$105+($F$13-Inputs!$K$105)*M$27</f>
        <v>0.24858749468603958</v>
      </c>
      <c r="N41" s="117">
        <f>Inputs!$K$105+($F$13-Inputs!$K$105)*N$27</f>
        <v>0.24915434537089842</v>
      </c>
      <c r="O41" s="117">
        <f>Inputs!$K$105+($F$13-Inputs!$K$105)*O$27</f>
        <v>0.24961904423633258</v>
      </c>
      <c r="P41" s="117">
        <f>Inputs!$K$105+($F$13-Inputs!$K$105)*P$27</f>
        <v>0.25</v>
      </c>
    </row>
    <row r="42" spans="4:16" x14ac:dyDescent="0.2">
      <c r="D42" s="10" t="s">
        <v>1261</v>
      </c>
      <c r="E42" s="10" t="s">
        <v>54</v>
      </c>
      <c r="F42" s="117">
        <f>Inputs!$K$106+($F$14-Inputs!$K$106)*F$27</f>
        <v>0.45</v>
      </c>
      <c r="G42" s="117">
        <f>Inputs!$K$106+($F$14-Inputs!$K$106)*G$27</f>
        <v>0.44314855384344709</v>
      </c>
      <c r="H42" s="117">
        <f>Inputs!$K$106+($F$14-Inputs!$K$106)*H$27</f>
        <v>0.43381125924750974</v>
      </c>
      <c r="I42" s="117">
        <f>Inputs!$K$106+($F$14-Inputs!$K$106)*I$27</f>
        <v>0.42615663286907079</v>
      </c>
      <c r="J42" s="117">
        <f>Inputs!$K$106+($F$14-Inputs!$K$106)*J$27</f>
        <v>0.41988144208533051</v>
      </c>
      <c r="K42" s="117">
        <f>Inputs!$K$106+($F$14-Inputs!$K$106)*K$27</f>
        <v>0.41473709964122951</v>
      </c>
      <c r="L42" s="117">
        <f>Inputs!$K$106+($F$14-Inputs!$K$106)*L$27</f>
        <v>0.41051981604074506</v>
      </c>
      <c r="M42" s="117">
        <f>Inputs!$K$106+($F$14-Inputs!$K$106)*M$27</f>
        <v>0.40706252656980213</v>
      </c>
      <c r="N42" s="117">
        <f>Inputs!$K$106+($F$14-Inputs!$K$106)*N$27</f>
        <v>0.40422827314550797</v>
      </c>
      <c r="O42" s="117">
        <f>Inputs!$K$106+($F$14-Inputs!$K$106)*O$27</f>
        <v>0.40190477881833714</v>
      </c>
      <c r="P42" s="117">
        <f>Inputs!$K$106+($F$14-Inputs!$K$106)*P$27</f>
        <v>0.4</v>
      </c>
    </row>
    <row r="43" spans="4:16" x14ac:dyDescent="0.2">
      <c r="D43" s="10" t="s">
        <v>1262</v>
      </c>
      <c r="E43" s="10" t="s">
        <v>54</v>
      </c>
      <c r="F43" s="117">
        <f>Inputs!$K$107+($F$16-Inputs!$K$107)*F$27</f>
        <v>0.65</v>
      </c>
      <c r="G43" s="117">
        <f>Inputs!$K$107+($F$16-Inputs!$K$107)*G$27</f>
        <v>0.64314855384344716</v>
      </c>
      <c r="H43" s="117">
        <f>Inputs!$K$107+($F$16-Inputs!$K$107)*H$27</f>
        <v>0.6338112592475097</v>
      </c>
      <c r="I43" s="117">
        <f>Inputs!$K$107+($F$16-Inputs!$K$107)*I$27</f>
        <v>0.62615663286907075</v>
      </c>
      <c r="J43" s="117">
        <f>Inputs!$K$107+($F$16-Inputs!$K$107)*J$27</f>
        <v>0.61988144208533047</v>
      </c>
      <c r="K43" s="117">
        <f>Inputs!$K$107+($F$16-Inputs!$K$107)*K$27</f>
        <v>0.61473709964122947</v>
      </c>
      <c r="L43" s="117">
        <f>Inputs!$K$107+($F$16-Inputs!$K$107)*L$27</f>
        <v>0.61051981604074501</v>
      </c>
      <c r="M43" s="117">
        <f>Inputs!$K$107+($F$16-Inputs!$K$107)*M$27</f>
        <v>0.60706252656980209</v>
      </c>
      <c r="N43" s="117">
        <f>Inputs!$K$107+($F$16-Inputs!$K$107)*N$27</f>
        <v>0.60422827314550798</v>
      </c>
      <c r="O43" s="117">
        <f>Inputs!$K$107+($F$16-Inputs!$K$107)*O$27</f>
        <v>0.60190477881833715</v>
      </c>
      <c r="P43" s="117">
        <f>Inputs!$K$107+($F$16-Inputs!$K$107)*P$27</f>
        <v>0.6</v>
      </c>
    </row>
    <row r="44" spans="4:16" x14ac:dyDescent="0.2">
      <c r="D44" s="10" t="s">
        <v>1263</v>
      </c>
      <c r="E44" s="10" t="s">
        <v>54</v>
      </c>
      <c r="F44" s="117">
        <f>Inputs!$K$108+($F$17-Inputs!$K$108)*F$27</f>
        <v>0.42499999999999999</v>
      </c>
      <c r="G44" s="117">
        <f>Inputs!$K$108+($F$17-Inputs!$K$108)*G$27</f>
        <v>0.41472283076517064</v>
      </c>
      <c r="H44" s="117">
        <f>Inputs!$K$108+($F$17-Inputs!$K$108)*H$27</f>
        <v>0.40071688887126461</v>
      </c>
      <c r="I44" s="117">
        <f>Inputs!$K$108+($F$17-Inputs!$K$108)*I$27</f>
        <v>0.38923494930360614</v>
      </c>
      <c r="J44" s="117">
        <f>Inputs!$K$108+($F$17-Inputs!$K$108)*J$27</f>
        <v>0.37982216312799572</v>
      </c>
      <c r="K44" s="117">
        <f>Inputs!$K$108+($F$17-Inputs!$K$108)*K$27</f>
        <v>0.37210564946184421</v>
      </c>
      <c r="L44" s="117">
        <f>Inputs!$K$108+($F$17-Inputs!$K$108)*L$27</f>
        <v>0.36577972406111753</v>
      </c>
      <c r="M44" s="117">
        <f>Inputs!$K$108+($F$17-Inputs!$K$108)*M$27</f>
        <v>0.36059378985470314</v>
      </c>
      <c r="N44" s="117">
        <f>Inputs!$K$108+($F$17-Inputs!$K$108)*N$27</f>
        <v>0.35634240971826192</v>
      </c>
      <c r="O44" s="117">
        <f>Inputs!$K$108+($F$17-Inputs!$K$108)*O$27</f>
        <v>0.35285716822750568</v>
      </c>
      <c r="P44" s="117">
        <f>Inputs!$K$108+($F$17-Inputs!$K$108)*P$27</f>
        <v>0.35</v>
      </c>
    </row>
    <row r="45" spans="4:16" x14ac:dyDescent="0.2">
      <c r="D45" s="10" t="s">
        <v>1264</v>
      </c>
      <c r="E45" s="10" t="s">
        <v>54</v>
      </c>
      <c r="F45" s="117">
        <f t="shared" ref="F45:P45" si="3">F42*F43+(1-F42)*F44</f>
        <v>0.52625000000000011</v>
      </c>
      <c r="G45" s="117">
        <f t="shared" si="3"/>
        <v>0.51594935960795263</v>
      </c>
      <c r="H45" s="117">
        <f t="shared" si="3"/>
        <v>0.50183585120768892</v>
      </c>
      <c r="I45" s="117">
        <f t="shared" si="3"/>
        <v>0.49020069622553603</v>
      </c>
      <c r="J45" s="117">
        <f t="shared" si="3"/>
        <v>0.48061859936256607</v>
      </c>
      <c r="K45" s="117">
        <f t="shared" si="3"/>
        <v>0.47273391339098791</v>
      </c>
      <c r="L45" s="117">
        <f t="shared" si="3"/>
        <v>0.46625038159838922</v>
      </c>
      <c r="M45" s="117">
        <f t="shared" si="3"/>
        <v>0.46092197654241868</v>
      </c>
      <c r="N45" s="117">
        <f t="shared" si="3"/>
        <v>0.45654488422864081</v>
      </c>
      <c r="O45" s="117">
        <f t="shared" si="3"/>
        <v>0.45295059307724916</v>
      </c>
      <c r="P45" s="117">
        <f t="shared" si="3"/>
        <v>0.44999999999999996</v>
      </c>
    </row>
    <row r="46" spans="4:16" x14ac:dyDescent="0.2">
      <c r="D46" s="10" t="s">
        <v>1265</v>
      </c>
      <c r="E46" s="10" t="s">
        <v>54</v>
      </c>
      <c r="F46" s="117">
        <f t="shared" ref="F46:P46" si="4">F42*F43/F45</f>
        <v>0.5558194774346793</v>
      </c>
      <c r="G46" s="117">
        <f t="shared" si="4"/>
        <v>0.55239985520826096</v>
      </c>
      <c r="H46" s="117">
        <f t="shared" si="4"/>
        <v>0.54789720550598897</v>
      </c>
      <c r="I46" s="117">
        <f t="shared" si="4"/>
        <v>0.5443501087753404</v>
      </c>
      <c r="J46" s="117">
        <f t="shared" si="4"/>
        <v>0.54154523809507615</v>
      </c>
      <c r="K46" s="117">
        <f t="shared" si="4"/>
        <v>0.53931878912228137</v>
      </c>
      <c r="L46" s="117">
        <f t="shared" si="4"/>
        <v>0.5375448309791625</v>
      </c>
      <c r="M46" s="117">
        <f t="shared" si="4"/>
        <v>0.53612632598916554</v>
      </c>
      <c r="N46" s="117">
        <f t="shared" si="4"/>
        <v>0.53498825608783052</v>
      </c>
      <c r="O46" s="117">
        <f t="shared" si="4"/>
        <v>0.53407239265812656</v>
      </c>
      <c r="P46" s="117">
        <f t="shared" si="4"/>
        <v>0.53333333333333333</v>
      </c>
    </row>
    <row r="47" spans="4:16" x14ac:dyDescent="0.2">
      <c r="D47" s="10" t="s">
        <v>1266</v>
      </c>
      <c r="E47" s="10" t="s">
        <v>1168</v>
      </c>
      <c r="F47" s="115">
        <f>F35*(F36*Inputs!$K$87+F37*Inputs!$K$88)</f>
        <v>61.318695868524564</v>
      </c>
      <c r="G47" s="115">
        <f>G35*(G36*Inputs!$K$87+G37*Inputs!$K$88)</f>
        <v>61.717751977656484</v>
      </c>
      <c r="H47" s="115">
        <f>H35*(H36*Inputs!$K$87+H37*Inputs!$K$88)</f>
        <v>61.413556769661135</v>
      </c>
      <c r="I47" s="115">
        <f>I35*(I36*Inputs!$K$87+I37*Inputs!$K$88)</f>
        <v>61.472099898086071</v>
      </c>
      <c r="J47" s="115">
        <f>J35*(J36*Inputs!$K$87+J37*Inputs!$K$88)</f>
        <v>61.849503106912294</v>
      </c>
      <c r="K47" s="115">
        <f>K35*(K36*Inputs!$K$87+K37*Inputs!$K$88)</f>
        <v>62.508924323157757</v>
      </c>
      <c r="L47" s="115">
        <f>L35*(L36*Inputs!$K$87+L37*Inputs!$K$88)</f>
        <v>63.419505133738717</v>
      </c>
      <c r="M47" s="115">
        <f>M35*(M36*Inputs!$K$87+M37*Inputs!$K$88)</f>
        <v>64.555478212358892</v>
      </c>
      <c r="N47" s="115">
        <f>N35*(N36*Inputs!$K$87+N37*Inputs!$K$88)</f>
        <v>65.895410477953433</v>
      </c>
      <c r="O47" s="115">
        <f>O35*(O36*Inputs!$K$87+O37*Inputs!$K$88)</f>
        <v>67.421561436299783</v>
      </c>
      <c r="P47" s="115">
        <f>P35*(P36*Inputs!$K$87+P37*Inputs!$K$88)</f>
        <v>69.119339270434935</v>
      </c>
    </row>
    <row r="48" spans="4:16" x14ac:dyDescent="0.2">
      <c r="D48" s="10" t="s">
        <v>1267</v>
      </c>
      <c r="E48" s="10" t="s">
        <v>1168</v>
      </c>
      <c r="F48" s="115">
        <f t="shared" ref="F48:P48" si="5">F38*F40*F33</f>
        <v>106.06150217507542</v>
      </c>
      <c r="G48" s="115">
        <f t="shared" si="5"/>
        <v>161.8624931882799</v>
      </c>
      <c r="H48" s="115">
        <f t="shared" si="5"/>
        <v>256.97032669141737</v>
      </c>
      <c r="I48" s="115">
        <f t="shared" si="5"/>
        <v>356.07771059456121</v>
      </c>
      <c r="J48" s="115">
        <f t="shared" si="5"/>
        <v>454.89326084305782</v>
      </c>
      <c r="K48" s="115">
        <f t="shared" si="5"/>
        <v>550.96488511890891</v>
      </c>
      <c r="L48" s="115">
        <f t="shared" si="5"/>
        <v>643.04147022163136</v>
      </c>
      <c r="M48" s="115">
        <f t="shared" si="5"/>
        <v>730.64084556996693</v>
      </c>
      <c r="N48" s="115">
        <f t="shared" si="5"/>
        <v>813.75941868537427</v>
      </c>
      <c r="O48" s="115">
        <f t="shared" si="5"/>
        <v>892.67881963613513</v>
      </c>
      <c r="P48" s="115">
        <f t="shared" si="5"/>
        <v>967.8387204882082</v>
      </c>
    </row>
    <row r="49" spans="4:17" x14ac:dyDescent="0.2">
      <c r="D49" s="11" t="s">
        <v>1268</v>
      </c>
      <c r="E49" s="10" t="s">
        <v>1168</v>
      </c>
      <c r="F49" s="119">
        <f t="shared" ref="F49:P49" si="6">F47+F48</f>
        <v>167.38019804359999</v>
      </c>
      <c r="G49" s="119">
        <f t="shared" si="6"/>
        <v>223.58024516593639</v>
      </c>
      <c r="H49" s="119">
        <f t="shared" si="6"/>
        <v>318.38388346107848</v>
      </c>
      <c r="I49" s="119">
        <f t="shared" si="6"/>
        <v>417.54981049264728</v>
      </c>
      <c r="J49" s="119">
        <f t="shared" si="6"/>
        <v>516.74276394997014</v>
      </c>
      <c r="K49" s="119">
        <f t="shared" si="6"/>
        <v>613.47380944206668</v>
      </c>
      <c r="L49" s="119">
        <f t="shared" si="6"/>
        <v>706.46097535537012</v>
      </c>
      <c r="M49" s="119">
        <f t="shared" si="6"/>
        <v>795.19632378232586</v>
      </c>
      <c r="N49" s="119">
        <f t="shared" si="6"/>
        <v>879.65482916332769</v>
      </c>
      <c r="O49" s="119">
        <f t="shared" si="6"/>
        <v>960.10038107243486</v>
      </c>
      <c r="P49" s="119">
        <f t="shared" si="6"/>
        <v>1036.9580597586432</v>
      </c>
    </row>
    <row r="50" spans="4:17" x14ac:dyDescent="0.2">
      <c r="D50" s="10" t="s">
        <v>1269</v>
      </c>
      <c r="E50" s="10" t="s">
        <v>1168</v>
      </c>
      <c r="F50" s="115">
        <f t="shared" ref="F50:P50" si="7">F49/F35</f>
        <v>167.38019804359999</v>
      </c>
      <c r="G50" s="115">
        <f t="shared" si="7"/>
        <v>216.01956054679846</v>
      </c>
      <c r="H50" s="115">
        <f t="shared" si="7"/>
        <v>297.21476203512663</v>
      </c>
      <c r="I50" s="115">
        <f t="shared" si="7"/>
        <v>376.6060058269083</v>
      </c>
      <c r="J50" s="115">
        <f t="shared" si="7"/>
        <v>450.31146536367953</v>
      </c>
      <c r="K50" s="115">
        <f t="shared" si="7"/>
        <v>516.52848612069965</v>
      </c>
      <c r="L50" s="115">
        <f t="shared" si="7"/>
        <v>574.70645862987703</v>
      </c>
      <c r="M50" s="115">
        <f t="shared" si="7"/>
        <v>625.01712246191164</v>
      </c>
      <c r="N50" s="115">
        <f t="shared" si="7"/>
        <v>668.02004274806268</v>
      </c>
      <c r="O50" s="115">
        <f t="shared" si="7"/>
        <v>704.45538600389671</v>
      </c>
      <c r="P50" s="115">
        <f t="shared" si="7"/>
        <v>735.11907759088444</v>
      </c>
      <c r="Q50" s="10" t="s">
        <v>2192</v>
      </c>
    </row>
    <row r="51" spans="4:17" x14ac:dyDescent="0.2">
      <c r="D51" s="10" t="s">
        <v>1387</v>
      </c>
      <c r="E51" s="10" t="s">
        <v>1168</v>
      </c>
      <c r="F51" s="115">
        <f t="shared" ref="F51:P51" si="8">F57/F35</f>
        <v>22.866032126663789</v>
      </c>
      <c r="G51" s="115">
        <f t="shared" si="8"/>
        <v>32.490383112325269</v>
      </c>
      <c r="H51" s="115">
        <f t="shared" si="8"/>
        <v>50.651010169283907</v>
      </c>
      <c r="I51" s="115">
        <f t="shared" si="8"/>
        <v>70.79267001815947</v>
      </c>
      <c r="J51" s="115">
        <f t="shared" si="8"/>
        <v>91.510690608914487</v>
      </c>
      <c r="K51" s="115">
        <f t="shared" si="8"/>
        <v>111.73960450699217</v>
      </c>
      <c r="L51" s="115">
        <f t="shared" si="8"/>
        <v>130.75732779679532</v>
      </c>
      <c r="M51" s="115">
        <f t="shared" si="8"/>
        <v>148.13559515173827</v>
      </c>
      <c r="N51" s="115">
        <f t="shared" si="8"/>
        <v>163.67312621025349</v>
      </c>
      <c r="O51" s="115">
        <f t="shared" si="8"/>
        <v>177.33050032272698</v>
      </c>
      <c r="P51" s="115">
        <f t="shared" si="8"/>
        <v>189.17505637588582</v>
      </c>
    </row>
    <row r="52" spans="4:17" x14ac:dyDescent="0.2">
      <c r="D52" s="45" t="s">
        <v>1388</v>
      </c>
      <c r="E52" s="10" t="s">
        <v>54</v>
      </c>
      <c r="F52" s="117">
        <f t="shared" ref="F52:P52" si="9">F57/F49</f>
        <v>0.13661133392079949</v>
      </c>
      <c r="G52" s="117">
        <f t="shared" si="9"/>
        <v>0.15040481996206334</v>
      </c>
      <c r="H52" s="117">
        <f t="shared" si="9"/>
        <v>0.17041889111583786</v>
      </c>
      <c r="I52" s="117">
        <f t="shared" si="9"/>
        <v>0.1879754144194303</v>
      </c>
      <c r="J52" s="117">
        <f t="shared" si="9"/>
        <v>0.20321643495132605</v>
      </c>
      <c r="K52" s="117">
        <f t="shared" si="9"/>
        <v>0.21632805839266228</v>
      </c>
      <c r="L52" s="117">
        <f t="shared" si="9"/>
        <v>0.22752019893516764</v>
      </c>
      <c r="M52" s="117">
        <f t="shared" si="9"/>
        <v>0.23701045911868698</v>
      </c>
      <c r="N52" s="117">
        <f t="shared" si="9"/>
        <v>0.24501229863844254</v>
      </c>
      <c r="O52" s="117">
        <f t="shared" si="9"/>
        <v>0.25172708427804696</v>
      </c>
      <c r="P52" s="117">
        <f t="shared" si="9"/>
        <v>0.25733933745243837</v>
      </c>
    </row>
    <row r="53" spans="4:17" x14ac:dyDescent="0.2">
      <c r="D53" s="45" t="s">
        <v>1430</v>
      </c>
      <c r="E53" s="10" t="s">
        <v>54</v>
      </c>
      <c r="F53" s="117">
        <f t="shared" ref="F53:P53" si="10">F74/F71</f>
        <v>0.29396546537512774</v>
      </c>
      <c r="G53" s="117">
        <f t="shared" si="10"/>
        <v>0.31212062287370362</v>
      </c>
      <c r="H53" s="117">
        <f t="shared" si="10"/>
        <v>0.3368628524886455</v>
      </c>
      <c r="I53" s="117">
        <f t="shared" si="10"/>
        <v>0.3571462998540455</v>
      </c>
      <c r="J53" s="117">
        <f t="shared" si="10"/>
        <v>0.37377447942507702</v>
      </c>
      <c r="K53" s="117">
        <f t="shared" si="10"/>
        <v>0.38740610480243415</v>
      </c>
      <c r="L53" s="117">
        <f t="shared" si="10"/>
        <v>0.39858118320682712</v>
      </c>
      <c r="M53" s="117">
        <f t="shared" si="10"/>
        <v>0.4077424074839972</v>
      </c>
      <c r="N53" s="117">
        <f t="shared" si="10"/>
        <v>0.41525269306943163</v>
      </c>
      <c r="O53" s="117">
        <f t="shared" si="10"/>
        <v>0.42140955462726326</v>
      </c>
      <c r="P53" s="117">
        <f t="shared" si="10"/>
        <v>0.42645689188376157</v>
      </c>
    </row>
    <row r="54" spans="4:17" x14ac:dyDescent="0.2">
      <c r="D54" s="10" t="s">
        <v>1389</v>
      </c>
      <c r="E54" s="10" t="s">
        <v>54</v>
      </c>
      <c r="F54" s="117" t="s">
        <v>1318</v>
      </c>
      <c r="G54" s="117">
        <f t="shared" ref="G54:P54" si="11">(G73/F73)^(1/IF(G$26=2027,0.625,1))-1</f>
        <v>0.71757092753931273</v>
      </c>
      <c r="H54" s="117">
        <f t="shared" si="11"/>
        <v>0.46951489924140155</v>
      </c>
      <c r="I54" s="117">
        <f t="shared" si="11"/>
        <v>0.32418737437470835</v>
      </c>
      <c r="J54" s="117">
        <f t="shared" si="11"/>
        <v>0.2395612597245711</v>
      </c>
      <c r="K54" s="117">
        <f t="shared" si="11"/>
        <v>0.18574434629385106</v>
      </c>
      <c r="L54" s="117">
        <f t="shared" si="11"/>
        <v>0.14938123063831377</v>
      </c>
      <c r="M54" s="117">
        <f t="shared" si="11"/>
        <v>0.12372580598464045</v>
      </c>
      <c r="N54" s="117">
        <f t="shared" si="11"/>
        <v>0.105038853235631</v>
      </c>
      <c r="O54" s="117">
        <f t="shared" si="11"/>
        <v>9.1095284543635913E-2</v>
      </c>
      <c r="P54" s="117">
        <f t="shared" si="11"/>
        <v>8.0495431170665377E-2</v>
      </c>
    </row>
    <row r="55" spans="4:17" x14ac:dyDescent="0.2">
      <c r="D55" s="10" t="s">
        <v>1270</v>
      </c>
      <c r="E55" s="10" t="s">
        <v>1168</v>
      </c>
      <c r="F55" s="115">
        <f t="shared" ref="F55:P55" si="12">F60*1000/(F32*12)</f>
        <v>8.3768288368829555</v>
      </c>
      <c r="G55" s="115">
        <f t="shared" si="12"/>
        <v>9.2826473746627052</v>
      </c>
      <c r="H55" s="115">
        <f t="shared" si="12"/>
        <v>10.466030244165207</v>
      </c>
      <c r="I55" s="115">
        <f t="shared" si="12"/>
        <v>11.555243453575351</v>
      </c>
      <c r="J55" s="115">
        <f t="shared" si="12"/>
        <v>12.568835524897683</v>
      </c>
      <c r="K55" s="115">
        <f t="shared" si="12"/>
        <v>13.522434231042579</v>
      </c>
      <c r="L55" s="115">
        <f t="shared" si="12"/>
        <v>14.429218424398117</v>
      </c>
      <c r="M55" s="115">
        <f t="shared" si="12"/>
        <v>15.300323529737573</v>
      </c>
      <c r="N55" s="115">
        <f t="shared" si="12"/>
        <v>16.145185990927086</v>
      </c>
      <c r="O55" s="115">
        <f t="shared" si="12"/>
        <v>16.971833077832954</v>
      </c>
      <c r="P55" s="115">
        <f t="shared" si="12"/>
        <v>17.78712497300403</v>
      </c>
    </row>
    <row r="56" spans="4:17" x14ac:dyDescent="0.2">
      <c r="D56" s="10" t="s">
        <v>1271</v>
      </c>
      <c r="E56" s="10" t="s">
        <v>1168</v>
      </c>
      <c r="F56" s="115">
        <f t="shared" ref="F56:P56" si="13">F61*1000/(F32*12)</f>
        <v>14.489203289780832</v>
      </c>
      <c r="G56" s="115">
        <f t="shared" si="13"/>
        <v>24.344899146593946</v>
      </c>
      <c r="H56" s="115">
        <f t="shared" si="13"/>
        <v>43.792598124425943</v>
      </c>
      <c r="I56" s="115">
        <f t="shared" si="13"/>
        <v>66.933855214534603</v>
      </c>
      <c r="J56" s="115">
        <f t="shared" si="13"/>
        <v>92.441786751909859</v>
      </c>
      <c r="K56" s="115">
        <f t="shared" si="13"/>
        <v>119.1891638403098</v>
      </c>
      <c r="L56" s="115">
        <f t="shared" si="13"/>
        <v>146.30492322838825</v>
      </c>
      <c r="M56" s="115">
        <f t="shared" si="13"/>
        <v>173.16952225940355</v>
      </c>
      <c r="N56" s="115">
        <f t="shared" si="13"/>
        <v>199.38106571078632</v>
      </c>
      <c r="O56" s="115">
        <f t="shared" si="13"/>
        <v>224.71143646377286</v>
      </c>
      <c r="P56" s="115">
        <f t="shared" si="13"/>
        <v>249.06297509125119</v>
      </c>
    </row>
    <row r="57" spans="4:17" x14ac:dyDescent="0.2">
      <c r="D57" s="11" t="s">
        <v>1386</v>
      </c>
      <c r="E57" s="10" t="s">
        <v>1168</v>
      </c>
      <c r="F57" s="119">
        <f t="shared" ref="F57:P57" si="14">F55+F56</f>
        <v>22.866032126663789</v>
      </c>
      <c r="G57" s="119">
        <f t="shared" si="14"/>
        <v>33.627546521256647</v>
      </c>
      <c r="H57" s="119">
        <f t="shared" si="14"/>
        <v>54.258628368591147</v>
      </c>
      <c r="I57" s="119">
        <f t="shared" si="14"/>
        <v>78.48909866810996</v>
      </c>
      <c r="J57" s="119">
        <f t="shared" si="14"/>
        <v>105.01062227680754</v>
      </c>
      <c r="K57" s="119">
        <f t="shared" si="14"/>
        <v>132.71159807135237</v>
      </c>
      <c r="L57" s="119">
        <f t="shared" si="14"/>
        <v>160.73414165278638</v>
      </c>
      <c r="M57" s="119">
        <f t="shared" si="14"/>
        <v>188.46984578914112</v>
      </c>
      <c r="N57" s="119">
        <f t="shared" si="14"/>
        <v>215.52625170171339</v>
      </c>
      <c r="O57" s="119">
        <f t="shared" si="14"/>
        <v>241.6832695416058</v>
      </c>
      <c r="P57" s="119">
        <f t="shared" si="14"/>
        <v>266.85010006425523</v>
      </c>
    </row>
    <row r="58" spans="4:17" x14ac:dyDescent="0.2">
      <c r="D58" s="10" t="s">
        <v>1272</v>
      </c>
      <c r="E58" s="10" t="s">
        <v>51</v>
      </c>
      <c r="F58" s="115">
        <f t="shared" ref="F58:P58" si="15">F31*12*F47/1000</f>
        <v>54.516195968697218</v>
      </c>
      <c r="G58" s="115">
        <f t="shared" si="15"/>
        <v>55.145336980411891</v>
      </c>
      <c r="H58" s="115">
        <f t="shared" si="15"/>
        <v>55.147903651399361</v>
      </c>
      <c r="I58" s="115">
        <f t="shared" si="15"/>
        <v>55.476476349014909</v>
      </c>
      <c r="J58" s="115">
        <f t="shared" si="15"/>
        <v>56.096155239652916</v>
      </c>
      <c r="K58" s="115">
        <f t="shared" si="15"/>
        <v>56.977707132382825</v>
      </c>
      <c r="L58" s="115">
        <f t="shared" si="15"/>
        <v>58.096752092010924</v>
      </c>
      <c r="M58" s="115">
        <f t="shared" si="15"/>
        <v>59.433070693401774</v>
      </c>
      <c r="N58" s="115">
        <f t="shared" si="15"/>
        <v>60.970014183861267</v>
      </c>
      <c r="O58" s="115">
        <f t="shared" si="15"/>
        <v>62.694002433398666</v>
      </c>
      <c r="P58" s="115">
        <f t="shared" si="15"/>
        <v>64.594096780928041</v>
      </c>
    </row>
    <row r="59" spans="4:17" x14ac:dyDescent="0.2">
      <c r="D59" s="10" t="s">
        <v>1273</v>
      </c>
      <c r="E59" s="10" t="s">
        <v>51</v>
      </c>
      <c r="F59" s="115">
        <f t="shared" ref="F59:P59" si="16">F31*12*F48/1000</f>
        <v>94.295378520579504</v>
      </c>
      <c r="G59" s="115">
        <f t="shared" si="16"/>
        <v>144.62551608472003</v>
      </c>
      <c r="H59" s="115">
        <f t="shared" si="16"/>
        <v>230.75320113437388</v>
      </c>
      <c r="I59" s="115">
        <f t="shared" si="16"/>
        <v>321.34800540343321</v>
      </c>
      <c r="J59" s="115">
        <f t="shared" si="16"/>
        <v>412.57830210235323</v>
      </c>
      <c r="K59" s="115">
        <f t="shared" si="16"/>
        <v>502.21174343424178</v>
      </c>
      <c r="L59" s="115">
        <f t="shared" si="16"/>
        <v>589.0714662873304</v>
      </c>
      <c r="M59" s="115">
        <f t="shared" si="16"/>
        <v>672.66528308256409</v>
      </c>
      <c r="N59" s="115">
        <f t="shared" si="16"/>
        <v>752.93442956998626</v>
      </c>
      <c r="O59" s="115">
        <f t="shared" si="16"/>
        <v>830.08472213133018</v>
      </c>
      <c r="P59" s="115">
        <f t="shared" si="16"/>
        <v>904.47432859482967</v>
      </c>
    </row>
    <row r="60" spans="4:17" x14ac:dyDescent="0.2">
      <c r="D60" s="10" t="s">
        <v>1274</v>
      </c>
      <c r="E60" s="10" t="s">
        <v>51</v>
      </c>
      <c r="F60" s="115">
        <f t="shared" ref="F60:P60" si="17">F68/F41</f>
        <v>19.293669661490952</v>
      </c>
      <c r="G60" s="115">
        <f t="shared" si="17"/>
        <v>21.486867786829247</v>
      </c>
      <c r="H60" s="115">
        <f t="shared" si="17"/>
        <v>24.347215834867679</v>
      </c>
      <c r="I60" s="115">
        <f t="shared" si="17"/>
        <v>27.015467166093238</v>
      </c>
      <c r="J60" s="115">
        <f t="shared" si="17"/>
        <v>29.532110649776609</v>
      </c>
      <c r="K60" s="115">
        <f t="shared" si="17"/>
        <v>31.931578171285746</v>
      </c>
      <c r="L60" s="115">
        <f t="shared" si="17"/>
        <v>34.243202572697584</v>
      </c>
      <c r="M60" s="115">
        <f t="shared" si="17"/>
        <v>36.492048492145692</v>
      </c>
      <c r="N60" s="115">
        <f t="shared" si="17"/>
        <v>38.699623801762591</v>
      </c>
      <c r="O60" s="115">
        <f t="shared" si="17"/>
        <v>40.884482438671157</v>
      </c>
      <c r="P60" s="115">
        <f t="shared" si="17"/>
        <v>43.062731187285365</v>
      </c>
    </row>
    <row r="61" spans="4:17" x14ac:dyDescent="0.2">
      <c r="D61" s="10" t="s">
        <v>1275</v>
      </c>
      <c r="E61" s="10" t="s">
        <v>51</v>
      </c>
      <c r="F61" s="115">
        <f t="shared" ref="F61:P61" si="18">F69/F45</f>
        <v>33.371805414045056</v>
      </c>
      <c r="G61" s="115">
        <f t="shared" si="18"/>
        <v>56.351987545531813</v>
      </c>
      <c r="H61" s="115">
        <f t="shared" si="18"/>
        <v>101.87509625241529</v>
      </c>
      <c r="I61" s="115">
        <f t="shared" si="18"/>
        <v>156.48734491083363</v>
      </c>
      <c r="J61" s="115">
        <f t="shared" si="18"/>
        <v>217.20397801471583</v>
      </c>
      <c r="K61" s="115">
        <f t="shared" si="18"/>
        <v>281.4506646739743</v>
      </c>
      <c r="L61" s="115">
        <f t="shared" si="18"/>
        <v>347.20862739325025</v>
      </c>
      <c r="M61" s="115">
        <f t="shared" si="18"/>
        <v>413.01810326884265</v>
      </c>
      <c r="N61" s="115">
        <f t="shared" si="18"/>
        <v>477.91163511761272</v>
      </c>
      <c r="O61" s="115">
        <f t="shared" si="18"/>
        <v>541.32106624776907</v>
      </c>
      <c r="P61" s="115">
        <f t="shared" si="18"/>
        <v>602.98288572988656</v>
      </c>
    </row>
    <row r="62" spans="4:17" x14ac:dyDescent="0.2">
      <c r="D62" s="11" t="s">
        <v>1276</v>
      </c>
      <c r="E62" s="10" t="s">
        <v>51</v>
      </c>
      <c r="F62" s="119">
        <f t="shared" ref="F62:P62" si="19">SUM(F58:F61)</f>
        <v>201.47704956481272</v>
      </c>
      <c r="G62" s="119">
        <f t="shared" si="19"/>
        <v>277.60970839749297</v>
      </c>
      <c r="H62" s="119">
        <f t="shared" si="19"/>
        <v>412.12341687305616</v>
      </c>
      <c r="I62" s="119">
        <f t="shared" si="19"/>
        <v>560.32729382937498</v>
      </c>
      <c r="J62" s="119">
        <f t="shared" si="19"/>
        <v>715.41054600649852</v>
      </c>
      <c r="K62" s="119">
        <f t="shared" si="19"/>
        <v>872.57169341188467</v>
      </c>
      <c r="L62" s="119">
        <f t="shared" si="19"/>
        <v>1028.620048345289</v>
      </c>
      <c r="M62" s="119">
        <f t="shared" si="19"/>
        <v>1181.6085055369542</v>
      </c>
      <c r="N62" s="119">
        <f t="shared" si="19"/>
        <v>1330.5157026732229</v>
      </c>
      <c r="O62" s="119">
        <f t="shared" si="19"/>
        <v>1474.984273251169</v>
      </c>
      <c r="P62" s="119">
        <f t="shared" si="19"/>
        <v>1615.1140422929298</v>
      </c>
    </row>
    <row r="63" spans="4:17" x14ac:dyDescent="0.2">
      <c r="D63" s="10" t="s">
        <v>1277</v>
      </c>
      <c r="E63" s="10" t="s">
        <v>51</v>
      </c>
      <c r="F63" s="116">
        <f t="shared" ref="F63:P63" si="20">F31*F33*12/1000+F32*F34*12/1000</f>
        <v>18156.254624999994</v>
      </c>
      <c r="G63" s="116">
        <f t="shared" si="20"/>
        <v>18885.68215455937</v>
      </c>
      <c r="H63" s="116">
        <f t="shared" si="20"/>
        <v>19644.414435118786</v>
      </c>
      <c r="I63" s="116">
        <f t="shared" si="20"/>
        <v>20433.628785049674</v>
      </c>
      <c r="J63" s="116">
        <f t="shared" si="20"/>
        <v>21254.549821489039</v>
      </c>
      <c r="K63" s="116">
        <f t="shared" si="20"/>
        <v>22108.451360567364</v>
      </c>
      <c r="L63" s="116">
        <f t="shared" si="20"/>
        <v>22996.658393978149</v>
      </c>
      <c r="M63" s="116">
        <f t="shared" si="20"/>
        <v>23920.549144956218</v>
      </c>
      <c r="N63" s="116">
        <f t="shared" si="20"/>
        <v>24881.557206854828</v>
      </c>
      <c r="O63" s="116">
        <f t="shared" si="20"/>
        <v>25881.173767640212</v>
      </c>
      <c r="P63" s="116">
        <f t="shared" si="20"/>
        <v>26920.949923755157</v>
      </c>
      <c r="Q63" s="10" t="s">
        <v>1278</v>
      </c>
    </row>
    <row r="64" spans="4:17" ht="25.5" x14ac:dyDescent="0.2">
      <c r="D64" s="10" t="s">
        <v>1279</v>
      </c>
      <c r="E64" s="10" t="s">
        <v>54</v>
      </c>
      <c r="F64" s="118">
        <f t="shared" ref="F64:P64" si="21">F62/F63</f>
        <v>1.1096839834323087E-2</v>
      </c>
      <c r="G64" s="118">
        <f t="shared" si="21"/>
        <v>1.4699480067786303E-2</v>
      </c>
      <c r="H64" s="118">
        <f t="shared" si="21"/>
        <v>2.0979165260140986E-2</v>
      </c>
      <c r="I64" s="118">
        <f t="shared" si="21"/>
        <v>2.7421820163403388E-2</v>
      </c>
      <c r="J64" s="118">
        <f t="shared" si="21"/>
        <v>3.3659171895666085E-2</v>
      </c>
      <c r="K64" s="118">
        <f t="shared" si="21"/>
        <v>3.946778899983034E-2</v>
      </c>
      <c r="L64" s="118">
        <f t="shared" si="21"/>
        <v>4.4729109365499863E-2</v>
      </c>
      <c r="M64" s="118">
        <f t="shared" si="21"/>
        <v>4.9397214853911624E-2</v>
      </c>
      <c r="N64" s="118">
        <f t="shared" si="21"/>
        <v>5.347397237286531E-2</v>
      </c>
      <c r="O64" s="118">
        <f t="shared" si="21"/>
        <v>5.6990625173861845E-2</v>
      </c>
      <c r="P64" s="118">
        <f t="shared" si="21"/>
        <v>5.9994689892712387E-2</v>
      </c>
      <c r="Q64" s="45" t="s">
        <v>1468</v>
      </c>
    </row>
    <row r="65" spans="4:17" x14ac:dyDescent="0.2">
      <c r="D65" s="10" t="s">
        <v>1280</v>
      </c>
      <c r="E65" s="10" t="s">
        <v>1281</v>
      </c>
      <c r="F65" s="116">
        <f>F62*1000/(Inputs!$K$84*(1+Inputs!$K$85)^(F$26-2025))</f>
        <v>172.89329300540166</v>
      </c>
      <c r="G65" s="116">
        <f>G62*1000/(Inputs!$K$84*(1+Inputs!$K$85)^(G$26-2025))</f>
        <v>237.74943423821901</v>
      </c>
      <c r="H65" s="116">
        <f>H62*1000/(Inputs!$K$84*(1+Inputs!$K$85)^(H$26-2025))</f>
        <v>352.24465559981331</v>
      </c>
      <c r="I65" s="116">
        <f>I62*1000/(Inputs!$K$84*(1+Inputs!$K$85)^(I$26-2025))</f>
        <v>477.95958661299085</v>
      </c>
      <c r="J65" s="116">
        <f>J62*1000/(Inputs!$K$84*(1+Inputs!$K$85)^(J$26-2025))</f>
        <v>609.0276574915099</v>
      </c>
      <c r="K65" s="116">
        <f>K62*1000/(Inputs!$K$84*(1+Inputs!$K$85)^(K$26-2025))</f>
        <v>741.33597588406201</v>
      </c>
      <c r="L65" s="116">
        <f>L62*1000/(Inputs!$K$84*(1+Inputs!$K$85)^(L$26-2025))</f>
        <v>872.17015074996925</v>
      </c>
      <c r="M65" s="116">
        <f>M62*1000/(Inputs!$K$84*(1+Inputs!$K$85)^(M$26-2025))</f>
        <v>999.88976176962205</v>
      </c>
      <c r="N65" s="116">
        <f>N62*1000/(Inputs!$K$84*(1+Inputs!$K$85)^(N$26-2025))</f>
        <v>1123.6493267876197</v>
      </c>
      <c r="O65" s="116">
        <f>O62*1000/(Inputs!$K$84*(1+Inputs!$K$85)^(O$26-2025))</f>
        <v>1243.1698238467218</v>
      </c>
      <c r="P65" s="116">
        <f>P62*1000/(Inputs!$K$84*(1+Inputs!$K$85)^(P$26-2025))</f>
        <v>1358.5591176285523</v>
      </c>
    </row>
    <row r="66" spans="4:17" x14ac:dyDescent="0.2">
      <c r="D66" s="10" t="s">
        <v>1282</v>
      </c>
      <c r="E66" s="10" t="s">
        <v>51</v>
      </c>
      <c r="F66" s="120">
        <f t="shared" ref="F66:P66" si="22">F58*F41</f>
        <v>13.083887032487333</v>
      </c>
      <c r="G66" s="120">
        <f t="shared" si="22"/>
        <v>13.310445936720106</v>
      </c>
      <c r="H66" s="120">
        <f t="shared" si="22"/>
        <v>13.414051899387008</v>
      </c>
      <c r="I66" s="120">
        <f t="shared" si="22"/>
        <v>13.578903522307554</v>
      </c>
      <c r="J66" s="120">
        <f t="shared" si="22"/>
        <v>13.800984317591855</v>
      </c>
      <c r="K66" s="120">
        <f t="shared" si="22"/>
        <v>14.076489553627962</v>
      </c>
      <c r="L66" s="120">
        <f t="shared" si="22"/>
        <v>14.401954594088187</v>
      </c>
      <c r="M66" s="120">
        <f t="shared" si="22"/>
        <v>14.774318145171028</v>
      </c>
      <c r="N66" s="120">
        <f t="shared" si="22"/>
        <v>15.190943971234345</v>
      </c>
      <c r="O66" s="120">
        <f t="shared" si="22"/>
        <v>15.649616966775284</v>
      </c>
      <c r="P66" s="120">
        <f t="shared" si="22"/>
        <v>16.14852419523201</v>
      </c>
    </row>
    <row r="67" spans="4:17" x14ac:dyDescent="0.2">
      <c r="D67" s="10" t="s">
        <v>1283</v>
      </c>
      <c r="E67" s="10" t="s">
        <v>51</v>
      </c>
      <c r="F67" s="120">
        <f t="shared" ref="F67:P67" si="23">F59*F45</f>
        <v>49.622942946454977</v>
      </c>
      <c r="G67" s="120">
        <f t="shared" si="23"/>
        <v>74.61944240688095</v>
      </c>
      <c r="H67" s="120">
        <f t="shared" si="23"/>
        <v>115.80022911016756</v>
      </c>
      <c r="I67" s="120">
        <f t="shared" si="23"/>
        <v>157.52501597945027</v>
      </c>
      <c r="J67" s="120">
        <f t="shared" si="23"/>
        <v>198.29280568381867</v>
      </c>
      <c r="K67" s="120">
        <f t="shared" si="23"/>
        <v>237.4125228245799</v>
      </c>
      <c r="L67" s="120">
        <f t="shared" si="23"/>
        <v>274.65479594519047</v>
      </c>
      <c r="M67" s="120">
        <f t="shared" si="23"/>
        <v>310.04621182988103</v>
      </c>
      <c r="N67" s="120">
        <f t="shared" si="23"/>
        <v>343.74836197978709</v>
      </c>
      <c r="O67" s="120">
        <f t="shared" si="23"/>
        <v>375.98736719374961</v>
      </c>
      <c r="P67" s="120">
        <f t="shared" si="23"/>
        <v>407.01344786767334</v>
      </c>
    </row>
    <row r="68" spans="4:17" x14ac:dyDescent="0.2">
      <c r="D68" s="10" t="s">
        <v>1284</v>
      </c>
      <c r="E68" s="10" t="s">
        <v>51</v>
      </c>
      <c r="F68" s="120">
        <f t="shared" ref="F68:P68" si="24">F66*F28/(1-F28)</f>
        <v>4.6304807187578287</v>
      </c>
      <c r="G68" s="120">
        <f t="shared" si="24"/>
        <v>5.1862914923819057</v>
      </c>
      <c r="H68" s="120">
        <f t="shared" si="24"/>
        <v>5.922161953407362</v>
      </c>
      <c r="I68" s="120">
        <f t="shared" si="24"/>
        <v>6.6125400602333224</v>
      </c>
      <c r="J68" s="120">
        <f t="shared" si="24"/>
        <v>7.2655994729359312</v>
      </c>
      <c r="K68" s="120">
        <f t="shared" si="24"/>
        <v>7.8887787729790473</v>
      </c>
      <c r="L68" s="120">
        <f t="shared" si="24"/>
        <v>8.4887542048322473</v>
      </c>
      <c r="M68" s="120">
        <f t="shared" si="24"/>
        <v>9.0714669106239665</v>
      </c>
      <c r="N68" s="120">
        <f t="shared" si="24"/>
        <v>9.642179434428197</v>
      </c>
      <c r="O68" s="120">
        <f t="shared" si="24"/>
        <v>10.205545430438217</v>
      </c>
      <c r="P68" s="120">
        <f t="shared" si="24"/>
        <v>10.765682796821341</v>
      </c>
    </row>
    <row r="69" spans="4:17" x14ac:dyDescent="0.2">
      <c r="D69" s="10" t="s">
        <v>1285</v>
      </c>
      <c r="E69" s="10" t="s">
        <v>51</v>
      </c>
      <c r="F69" s="120">
        <f t="shared" ref="F69:P69" si="25">F67*F28/(1-F28)</f>
        <v>17.561912599141213</v>
      </c>
      <c r="G69" s="120">
        <f t="shared" si="25"/>
        <v>29.074771886752462</v>
      </c>
      <c r="H69" s="120">
        <f t="shared" si="25"/>
        <v>51.124575644696066</v>
      </c>
      <c r="I69" s="120">
        <f t="shared" si="25"/>
        <v>76.710205425776238</v>
      </c>
      <c r="J69" s="120">
        <f t="shared" si="25"/>
        <v>104.39227168941032</v>
      </c>
      <c r="K69" s="120">
        <f t="shared" si="25"/>
        <v>133.05127413782256</v>
      </c>
      <c r="L69" s="120">
        <f t="shared" si="25"/>
        <v>161.88615501635587</v>
      </c>
      <c r="M69" s="120">
        <f t="shared" si="25"/>
        <v>190.36912050647575</v>
      </c>
      <c r="N69" s="120">
        <f t="shared" si="25"/>
        <v>218.18811212629092</v>
      </c>
      <c r="O69" s="120">
        <f t="shared" si="25"/>
        <v>245.19169800213589</v>
      </c>
      <c r="P69" s="120">
        <f t="shared" si="25"/>
        <v>271.34229857844895</v>
      </c>
    </row>
    <row r="70" spans="4:17" x14ac:dyDescent="0.2">
      <c r="D70" s="10" t="s">
        <v>1286</v>
      </c>
      <c r="E70" s="10" t="s">
        <v>51</v>
      </c>
      <c r="F70" s="120">
        <f>SUM(F66:F69)*Inputs!$K$113</f>
        <v>3.9163047031586542</v>
      </c>
      <c r="G70" s="120">
        <f>SUM(G66:G69)*Inputs!$K$113</f>
        <v>5.6365297623751598</v>
      </c>
      <c r="H70" s="120">
        <f>SUM(H66:H69)*Inputs!$K$113</f>
        <v>8.5920091475728704</v>
      </c>
      <c r="I70" s="120">
        <f>SUM(I66:I69)*Inputs!$K$113</f>
        <v>11.736412961243616</v>
      </c>
      <c r="J70" s="120">
        <f>SUM(J66:J69)*Inputs!$K$113</f>
        <v>14.934296263676417</v>
      </c>
      <c r="K70" s="120">
        <f>SUM(K66:K69)*Inputs!$K$113</f>
        <v>18.102306880641173</v>
      </c>
      <c r="L70" s="120">
        <f>SUM(L66:L69)*Inputs!$K$113</f>
        <v>21.193060431294242</v>
      </c>
      <c r="M70" s="120">
        <f>SUM(M66:M69)*Inputs!$K$113</f>
        <v>24.183569648775372</v>
      </c>
      <c r="N70" s="120">
        <f>SUM(N66:N69)*Inputs!$K$113</f>
        <v>27.067014810855586</v>
      </c>
      <c r="O70" s="120">
        <f>SUM(O66:O69)*Inputs!$K$113</f>
        <v>29.846953720267507</v>
      </c>
      <c r="P70" s="120">
        <f>SUM(P66:P69)*Inputs!$K$113</f>
        <v>32.533301582620886</v>
      </c>
    </row>
    <row r="71" spans="4:17" ht="25.5" x14ac:dyDescent="0.2">
      <c r="D71" s="11" t="s">
        <v>1287</v>
      </c>
      <c r="E71" s="10" t="s">
        <v>51</v>
      </c>
      <c r="F71" s="119">
        <f t="shared" ref="F71:P71" si="26">SUM(F66:F70)</f>
        <v>88.815528</v>
      </c>
      <c r="G71" s="119">
        <f t="shared" si="26"/>
        <v>127.82748148511058</v>
      </c>
      <c r="H71" s="119">
        <f t="shared" si="26"/>
        <v>194.85302775523087</v>
      </c>
      <c r="I71" s="119">
        <f t="shared" si="26"/>
        <v>266.16307794901098</v>
      </c>
      <c r="J71" s="119">
        <f t="shared" si="26"/>
        <v>338.68595742743315</v>
      </c>
      <c r="K71" s="119">
        <f t="shared" si="26"/>
        <v>410.53137216965064</v>
      </c>
      <c r="L71" s="119">
        <f t="shared" si="26"/>
        <v>480.62472019176096</v>
      </c>
      <c r="M71" s="119">
        <f t="shared" si="26"/>
        <v>548.44468704092708</v>
      </c>
      <c r="N71" s="119">
        <f t="shared" si="26"/>
        <v>613.83661232259612</v>
      </c>
      <c r="O71" s="119">
        <f t="shared" si="26"/>
        <v>676.88118131336648</v>
      </c>
      <c r="P71" s="119">
        <f t="shared" si="26"/>
        <v>737.80325502079654</v>
      </c>
      <c r="Q71" s="45" t="s">
        <v>1371</v>
      </c>
    </row>
    <row r="72" spans="4:17" ht="25.5" x14ac:dyDescent="0.2">
      <c r="D72" s="45" t="s">
        <v>1390</v>
      </c>
      <c r="E72" s="10" t="s">
        <v>54</v>
      </c>
      <c r="F72" s="117" t="s">
        <v>1318</v>
      </c>
      <c r="G72" s="117">
        <f>(G71/F71)^(1/0.625)-1</f>
        <v>0.79067400297140877</v>
      </c>
      <c r="H72" s="117">
        <f t="shared" ref="H72:P72" si="27">H71/G71-1</f>
        <v>0.5243437912678226</v>
      </c>
      <c r="I72" s="117">
        <f t="shared" si="27"/>
        <v>0.36596839687478644</v>
      </c>
      <c r="J72" s="117">
        <f t="shared" si="27"/>
        <v>0.27247535622621344</v>
      </c>
      <c r="K72" s="117">
        <f t="shared" si="27"/>
        <v>0.21212988955295287</v>
      </c>
      <c r="L72" s="117">
        <f t="shared" si="27"/>
        <v>0.17073810376943488</v>
      </c>
      <c r="M72" s="117">
        <f t="shared" si="27"/>
        <v>0.14110794555491668</v>
      </c>
      <c r="N72" s="117">
        <f t="shared" si="27"/>
        <v>0.11923157763544756</v>
      </c>
      <c r="O72" s="117">
        <f t="shared" si="27"/>
        <v>0.10270578151444298</v>
      </c>
      <c r="P72" s="117">
        <f t="shared" si="27"/>
        <v>9.0004088441669738E-2</v>
      </c>
    </row>
    <row r="73" spans="4:17" x14ac:dyDescent="0.2">
      <c r="D73" s="10" t="s">
        <v>1288</v>
      </c>
      <c r="E73" s="10" t="s">
        <v>51</v>
      </c>
      <c r="F73" s="115">
        <f t="shared" ref="F73:P73" si="28">F66+F67</f>
        <v>62.706829978942309</v>
      </c>
      <c r="G73" s="115">
        <f t="shared" si="28"/>
        <v>87.92988834360105</v>
      </c>
      <c r="H73" s="115">
        <f t="shared" si="28"/>
        <v>129.21428100955458</v>
      </c>
      <c r="I73" s="115">
        <f t="shared" si="28"/>
        <v>171.10391950175782</v>
      </c>
      <c r="J73" s="115">
        <f t="shared" si="28"/>
        <v>212.09379000141053</v>
      </c>
      <c r="K73" s="115">
        <f t="shared" si="28"/>
        <v>251.48901237820786</v>
      </c>
      <c r="L73" s="115">
        <f t="shared" si="28"/>
        <v>289.05675053927865</v>
      </c>
      <c r="M73" s="115">
        <f t="shared" si="28"/>
        <v>324.82052997505207</v>
      </c>
      <c r="N73" s="115">
        <f t="shared" si="28"/>
        <v>358.93930595102142</v>
      </c>
      <c r="O73" s="115">
        <f t="shared" si="28"/>
        <v>391.63698416052489</v>
      </c>
      <c r="P73" s="115">
        <f t="shared" si="28"/>
        <v>423.16197206290536</v>
      </c>
    </row>
    <row r="74" spans="4:17" x14ac:dyDescent="0.2">
      <c r="D74" s="10" t="s">
        <v>1289</v>
      </c>
      <c r="E74" s="10" t="s">
        <v>51</v>
      </c>
      <c r="F74" s="115">
        <f t="shared" ref="F74:P74" si="29">F71-F73</f>
        <v>26.108698021057691</v>
      </c>
      <c r="G74" s="115">
        <f t="shared" si="29"/>
        <v>39.897593141509532</v>
      </c>
      <c r="H74" s="115">
        <f t="shared" si="29"/>
        <v>65.638746745676286</v>
      </c>
      <c r="I74" s="115">
        <f t="shared" si="29"/>
        <v>95.059158447253168</v>
      </c>
      <c r="J74" s="115">
        <f t="shared" si="29"/>
        <v>126.59216742602263</v>
      </c>
      <c r="K74" s="115">
        <f t="shared" si="29"/>
        <v>159.04235979144278</v>
      </c>
      <c r="L74" s="115">
        <f t="shared" si="29"/>
        <v>191.5679696524823</v>
      </c>
      <c r="M74" s="115">
        <f t="shared" si="29"/>
        <v>223.62415706587501</v>
      </c>
      <c r="N74" s="115">
        <f t="shared" si="29"/>
        <v>254.8973063715747</v>
      </c>
      <c r="O74" s="115">
        <f t="shared" si="29"/>
        <v>285.24419715284159</v>
      </c>
      <c r="P74" s="115">
        <f t="shared" si="29"/>
        <v>314.64128295789118</v>
      </c>
    </row>
    <row r="75" spans="4:17" x14ac:dyDescent="0.2">
      <c r="D75" s="10" t="s">
        <v>1290</v>
      </c>
      <c r="E75" s="10" t="s">
        <v>51</v>
      </c>
      <c r="F75" s="115">
        <f>(F66+F68)*(1+Inputs!$K$113)</f>
        <v>18.531511407496545</v>
      </c>
      <c r="G75" s="115">
        <f>(G66+G68)*(1+Inputs!$K$113)</f>
        <v>19.349970909618175</v>
      </c>
      <c r="H75" s="115">
        <f>(H66+H68)*(1+Inputs!$K$113)</f>
        <v>20.228171426872638</v>
      </c>
      <c r="I75" s="115">
        <f>(I66+I68)*(1+Inputs!$K$113)</f>
        <v>21.122851932289695</v>
      </c>
      <c r="J75" s="115">
        <f>(J66+J68)*(1+Inputs!$K$113)</f>
        <v>22.038361363684917</v>
      </c>
      <c r="K75" s="115">
        <f>(K66+K68)*(1+Inputs!$K$113)</f>
        <v>22.978501196274891</v>
      </c>
      <c r="L75" s="115">
        <f>(L66+L68)*(1+Inputs!$K$113)</f>
        <v>23.946631186035873</v>
      </c>
      <c r="M75" s="115">
        <f>(M66+M68)*(1+Inputs!$K$113)</f>
        <v>24.945764025425859</v>
      </c>
      <c r="N75" s="115">
        <f>(N66+N68)*(1+Inputs!$K$113)</f>
        <v>25.978647171500498</v>
      </c>
      <c r="O75" s="115">
        <f>(O66+O68)*(1+Inputs!$K$113)</f>
        <v>27.047831660430486</v>
      </c>
      <c r="P75" s="115">
        <f>(P66+P68)*(1+Inputs!$K$113)</f>
        <v>28.155728779081119</v>
      </c>
    </row>
    <row r="76" spans="4:17" x14ac:dyDescent="0.2">
      <c r="D76" s="10" t="s">
        <v>1291</v>
      </c>
      <c r="E76" s="10" t="s">
        <v>51</v>
      </c>
      <c r="F76" s="115">
        <f>(F67+F69)*(1+Inputs!$K$113)</f>
        <v>70.284016592503463</v>
      </c>
      <c r="G76" s="115">
        <f>(G67+G69)*(1+Inputs!$K$113)</f>
        <v>108.4775105754924</v>
      </c>
      <c r="H76" s="115">
        <f>(H67+H69)*(1+Inputs!$K$113)</f>
        <v>174.62485632835822</v>
      </c>
      <c r="I76" s="115">
        <f>(I67+I69)*(1+Inputs!$K$113)</f>
        <v>245.04022601672131</v>
      </c>
      <c r="J76" s="115">
        <f>(J67+J69)*(1+Inputs!$K$113)</f>
        <v>316.64759606374827</v>
      </c>
      <c r="K76" s="115">
        <f>(K67+K69)*(1+Inputs!$K$113)</f>
        <v>387.55287097337572</v>
      </c>
      <c r="L76" s="115">
        <f>(L67+L69)*(1+Inputs!$K$113)</f>
        <v>456.6780890057251</v>
      </c>
      <c r="M76" s="115">
        <f>(M67+M69)*(1+Inputs!$K$113)</f>
        <v>523.49892301550119</v>
      </c>
      <c r="N76" s="115">
        <f>(N67+N69)*(1+Inputs!$K$113)</f>
        <v>587.85796515109553</v>
      </c>
      <c r="O76" s="115">
        <f>(O67+O69)*(1+Inputs!$K$113)</f>
        <v>649.83334965293602</v>
      </c>
      <c r="P76" s="115">
        <f>(P67+P69)*(1+Inputs!$K$113)</f>
        <v>709.64752624171547</v>
      </c>
    </row>
    <row r="77" spans="4:17" x14ac:dyDescent="0.2">
      <c r="D77" s="10" t="s">
        <v>1292</v>
      </c>
      <c r="E77" s="10" t="s">
        <v>51</v>
      </c>
      <c r="F77" s="115">
        <f t="shared" ref="F77:P77" si="30">F76*F46</f>
        <v>39.065225374455601</v>
      </c>
      <c r="G77" s="115">
        <f t="shared" si="30"/>
        <v>59.922961135254603</v>
      </c>
      <c r="H77" s="115">
        <f t="shared" si="30"/>
        <v>95.676470794192284</v>
      </c>
      <c r="I77" s="115">
        <f t="shared" si="30"/>
        <v>133.38767368653623</v>
      </c>
      <c r="J77" s="115">
        <f t="shared" si="30"/>
        <v>171.47899780257606</v>
      </c>
      <c r="K77" s="115">
        <f t="shared" si="30"/>
        <v>209.01454509422473</v>
      </c>
      <c r="L77" s="115">
        <f t="shared" si="30"/>
        <v>245.48494616646943</v>
      </c>
      <c r="M77" s="115">
        <f t="shared" si="30"/>
        <v>280.66155425558566</v>
      </c>
      <c r="N77" s="115">
        <f t="shared" si="30"/>
        <v>314.49710760352525</v>
      </c>
      <c r="O77" s="115">
        <f t="shared" si="30"/>
        <v>347.05805187818851</v>
      </c>
      <c r="P77" s="115">
        <f t="shared" si="30"/>
        <v>378.47868066224822</v>
      </c>
    </row>
    <row r="78" spans="4:17" x14ac:dyDescent="0.2">
      <c r="D78" s="10" t="s">
        <v>1293</v>
      </c>
      <c r="E78" s="10" t="s">
        <v>51</v>
      </c>
      <c r="F78" s="115">
        <f t="shared" ref="F78:P78" si="31">F76-F77</f>
        <v>31.218791218047862</v>
      </c>
      <c r="G78" s="115">
        <f t="shared" si="31"/>
        <v>48.5545494402378</v>
      </c>
      <c r="H78" s="115">
        <f t="shared" si="31"/>
        <v>78.948385534165936</v>
      </c>
      <c r="I78" s="115">
        <f t="shared" si="31"/>
        <v>111.65255233018507</v>
      </c>
      <c r="J78" s="115">
        <f t="shared" si="31"/>
        <v>145.16859826117221</v>
      </c>
      <c r="K78" s="115">
        <f t="shared" si="31"/>
        <v>178.53832587915099</v>
      </c>
      <c r="L78" s="115">
        <f t="shared" si="31"/>
        <v>211.19314283925567</v>
      </c>
      <c r="M78" s="115">
        <f t="shared" si="31"/>
        <v>242.83736875991553</v>
      </c>
      <c r="N78" s="115">
        <f t="shared" si="31"/>
        <v>273.36085754757028</v>
      </c>
      <c r="O78" s="115">
        <f t="shared" si="31"/>
        <v>302.77529777474751</v>
      </c>
      <c r="P78" s="115">
        <f t="shared" si="31"/>
        <v>331.16884557946724</v>
      </c>
    </row>
    <row r="79" spans="4:17" x14ac:dyDescent="0.2">
      <c r="D79" s="10" t="s">
        <v>1294</v>
      </c>
      <c r="E79" s="10" t="s">
        <v>54</v>
      </c>
      <c r="F79" s="117">
        <f t="shared" ref="F79:P79" si="32">(F71-F70)/F62</f>
        <v>0.42138409054640386</v>
      </c>
      <c r="G79" s="117">
        <f t="shared" si="32"/>
        <v>0.44015374112124855</v>
      </c>
      <c r="H79" s="117">
        <f t="shared" si="32"/>
        <v>0.45195446553581992</v>
      </c>
      <c r="I79" s="117">
        <f t="shared" si="32"/>
        <v>0.45406794883927737</v>
      </c>
      <c r="J79" s="117">
        <f t="shared" si="32"/>
        <v>0.45253968224395719</v>
      </c>
      <c r="K79" s="117">
        <f t="shared" si="32"/>
        <v>0.4497384779404815</v>
      </c>
      <c r="L79" s="117">
        <f t="shared" si="32"/>
        <v>0.44664855648063734</v>
      </c>
      <c r="M79" s="117">
        <f t="shared" si="32"/>
        <v>0.44368427862146576</v>
      </c>
      <c r="N79" s="117">
        <f t="shared" si="32"/>
        <v>0.44100914880810865</v>
      </c>
      <c r="O79" s="117">
        <f t="shared" si="32"/>
        <v>0.43867195015368016</v>
      </c>
      <c r="P79" s="117">
        <f t="shared" si="32"/>
        <v>0.43666882645446181</v>
      </c>
    </row>
    <row r="80" spans="4:17" x14ac:dyDescent="0.2">
      <c r="D80" s="10" t="s">
        <v>1295</v>
      </c>
      <c r="E80" s="10" t="s">
        <v>1249</v>
      </c>
      <c r="F80" s="121">
        <f t="shared" ref="F80:P80" si="33">MIN(1,(F$26-2026)/$F$23)</f>
        <v>0</v>
      </c>
      <c r="G80" s="121">
        <f t="shared" si="33"/>
        <v>0.16666666666666666</v>
      </c>
      <c r="H80" s="121">
        <f t="shared" si="33"/>
        <v>0.33333333333333331</v>
      </c>
      <c r="I80" s="121">
        <f t="shared" si="33"/>
        <v>0.5</v>
      </c>
      <c r="J80" s="121">
        <f t="shared" si="33"/>
        <v>0.66666666666666663</v>
      </c>
      <c r="K80" s="121">
        <f t="shared" si="33"/>
        <v>0.83333333333333337</v>
      </c>
      <c r="L80" s="121">
        <f t="shared" si="33"/>
        <v>1</v>
      </c>
      <c r="M80" s="121">
        <f t="shared" si="33"/>
        <v>1</v>
      </c>
      <c r="N80" s="121">
        <f t="shared" si="33"/>
        <v>1</v>
      </c>
      <c r="O80" s="121">
        <f t="shared" si="33"/>
        <v>1</v>
      </c>
      <c r="P80" s="121">
        <f t="shared" si="33"/>
        <v>1</v>
      </c>
    </row>
    <row r="81" spans="2:17" x14ac:dyDescent="0.2">
      <c r="D81" s="10" t="s">
        <v>1296</v>
      </c>
      <c r="E81" s="10" t="s">
        <v>54</v>
      </c>
      <c r="F81" s="117">
        <f t="shared" ref="F81:P81" si="34">$F$22+($F$18-$F$22)*F80</f>
        <v>0.14343005425807973</v>
      </c>
      <c r="G81" s="117">
        <f t="shared" si="34"/>
        <v>0.13952504521506642</v>
      </c>
      <c r="H81" s="117">
        <f t="shared" si="34"/>
        <v>0.13562003617205315</v>
      </c>
      <c r="I81" s="117">
        <f t="shared" si="34"/>
        <v>0.13171502712903987</v>
      </c>
      <c r="J81" s="117">
        <f t="shared" si="34"/>
        <v>0.12781001808602657</v>
      </c>
      <c r="K81" s="117">
        <f t="shared" si="34"/>
        <v>0.12390500904301328</v>
      </c>
      <c r="L81" s="117">
        <f t="shared" si="34"/>
        <v>0.12</v>
      </c>
      <c r="M81" s="117">
        <f t="shared" si="34"/>
        <v>0.12</v>
      </c>
      <c r="N81" s="117">
        <f t="shared" si="34"/>
        <v>0.12</v>
      </c>
      <c r="O81" s="117">
        <f t="shared" si="34"/>
        <v>0.12</v>
      </c>
      <c r="P81" s="117">
        <f t="shared" si="34"/>
        <v>0.12</v>
      </c>
    </row>
    <row r="82" spans="2:17" x14ac:dyDescent="0.2">
      <c r="D82" s="10" t="s">
        <v>1297</v>
      </c>
      <c r="E82" s="10" t="s">
        <v>54</v>
      </c>
      <c r="F82" s="117">
        <f t="shared" ref="F82:P82" si="35">$F$22+($F$19-$F$22)*F80</f>
        <v>0.14343005425807973</v>
      </c>
      <c r="G82" s="117">
        <f t="shared" si="35"/>
        <v>0.18119171188173311</v>
      </c>
      <c r="H82" s="117">
        <f t="shared" si="35"/>
        <v>0.21895336950538646</v>
      </c>
      <c r="I82" s="117">
        <f t="shared" si="35"/>
        <v>0.25671502712903987</v>
      </c>
      <c r="J82" s="117">
        <f t="shared" si="35"/>
        <v>0.29447668475269323</v>
      </c>
      <c r="K82" s="117">
        <f t="shared" si="35"/>
        <v>0.33223834237634664</v>
      </c>
      <c r="L82" s="117">
        <f t="shared" si="35"/>
        <v>0.37</v>
      </c>
      <c r="M82" s="117">
        <f t="shared" si="35"/>
        <v>0.37</v>
      </c>
      <c r="N82" s="117">
        <f t="shared" si="35"/>
        <v>0.37</v>
      </c>
      <c r="O82" s="117">
        <f t="shared" si="35"/>
        <v>0.37</v>
      </c>
      <c r="P82" s="117">
        <f t="shared" si="35"/>
        <v>0.37</v>
      </c>
    </row>
    <row r="83" spans="2:17" x14ac:dyDescent="0.2">
      <c r="D83" s="10" t="s">
        <v>1298</v>
      </c>
      <c r="E83" s="10" t="s">
        <v>54</v>
      </c>
      <c r="F83" s="117">
        <f t="shared" ref="F83:P83" si="36">$F$22+($F$20-$F$22)*F80</f>
        <v>0.14343005425807973</v>
      </c>
      <c r="G83" s="117">
        <f t="shared" si="36"/>
        <v>0.16285837854839977</v>
      </c>
      <c r="H83" s="117">
        <f t="shared" si="36"/>
        <v>0.18228670283871981</v>
      </c>
      <c r="I83" s="117">
        <f t="shared" si="36"/>
        <v>0.20171502712903988</v>
      </c>
      <c r="J83" s="117">
        <f t="shared" si="36"/>
        <v>0.22114335141935992</v>
      </c>
      <c r="K83" s="117">
        <f t="shared" si="36"/>
        <v>0.24057167570967997</v>
      </c>
      <c r="L83" s="117">
        <f t="shared" si="36"/>
        <v>0.26</v>
      </c>
      <c r="M83" s="117">
        <f t="shared" si="36"/>
        <v>0.26</v>
      </c>
      <c r="N83" s="117">
        <f t="shared" si="36"/>
        <v>0.26</v>
      </c>
      <c r="O83" s="117">
        <f t="shared" si="36"/>
        <v>0.26</v>
      </c>
      <c r="P83" s="117">
        <f t="shared" si="36"/>
        <v>0.26</v>
      </c>
    </row>
    <row r="84" spans="2:17" x14ac:dyDescent="0.2">
      <c r="D84" s="10" t="s">
        <v>1299</v>
      </c>
      <c r="E84" s="10" t="s">
        <v>51</v>
      </c>
      <c r="F84" s="115">
        <f t="shared" ref="F84:P84" si="37">F77*F81+F78*F82+F75*F83</f>
        <v>12.738816000000002</v>
      </c>
      <c r="G84" s="115">
        <f t="shared" si="37"/>
        <v>20.309740681839116</v>
      </c>
      <c r="H84" s="115">
        <f t="shared" si="37"/>
        <v>33.948988133499697</v>
      </c>
      <c r="I84" s="115">
        <f t="shared" si="37"/>
        <v>50.492845709336152</v>
      </c>
      <c r="J84" s="115">
        <f t="shared" si="37"/>
        <v>69.539138448422761</v>
      </c>
      <c r="K84" s="115">
        <f t="shared" si="37"/>
        <v>90.743203078843067</v>
      </c>
      <c r="L84" s="115">
        <f t="shared" si="37"/>
        <v>113.82578049887027</v>
      </c>
      <c r="M84" s="115">
        <f t="shared" si="37"/>
        <v>130.01511159844975</v>
      </c>
      <c r="N84" s="115">
        <f t="shared" si="37"/>
        <v>145.63761846961418</v>
      </c>
      <c r="O84" s="115">
        <f t="shared" si="37"/>
        <v>160.70626263375112</v>
      </c>
      <c r="P84" s="115">
        <f t="shared" si="37"/>
        <v>175.27040402643377</v>
      </c>
    </row>
    <row r="85" spans="2:17" x14ac:dyDescent="0.2">
      <c r="D85" s="10" t="s">
        <v>1300</v>
      </c>
      <c r="E85" s="10" t="s">
        <v>54</v>
      </c>
      <c r="F85" s="117">
        <f t="shared" ref="F85:P85" si="38">F84/F71</f>
        <v>0.14343005425807975</v>
      </c>
      <c r="G85" s="117">
        <f t="shared" si="38"/>
        <v>0.15888399306533163</v>
      </c>
      <c r="H85" s="117">
        <f t="shared" si="38"/>
        <v>0.17422869187409037</v>
      </c>
      <c r="I85" s="117">
        <f t="shared" si="38"/>
        <v>0.18970642396541978</v>
      </c>
      <c r="J85" s="117">
        <f t="shared" si="38"/>
        <v>0.20532040648104585</v>
      </c>
      <c r="K85" s="117">
        <f t="shared" si="38"/>
        <v>0.22103841321375009</v>
      </c>
      <c r="L85" s="117">
        <f t="shared" si="38"/>
        <v>0.23682880991526145</v>
      </c>
      <c r="M85" s="117">
        <f t="shared" si="38"/>
        <v>0.23706148435849014</v>
      </c>
      <c r="N85" s="117">
        <f t="shared" si="38"/>
        <v>0.23725795357588689</v>
      </c>
      <c r="O85" s="117">
        <f t="shared" si="38"/>
        <v>0.2374216732129108</v>
      </c>
      <c r="P85" s="117">
        <f t="shared" si="38"/>
        <v>0.23755710324359222</v>
      </c>
    </row>
    <row r="86" spans="2:17" ht="38.25" x14ac:dyDescent="0.2">
      <c r="D86" s="10" t="s">
        <v>1301</v>
      </c>
      <c r="E86" s="10" t="s">
        <v>51</v>
      </c>
      <c r="F86" s="122">
        <f>Inputs!$K$131</f>
        <v>18.661333333333335</v>
      </c>
      <c r="G86" s="122">
        <f>IF(AND($F$93&gt;0,G$26&gt;$F$93),((INDEX($F$92:$P$92,$F$93-2025)/INDEX($F$71:$P$71,$F$93-2025))+($F$21-(INDEX($F$92:$P$92,$F$93-2025)/INDEX($F$71:$P$71,$F$93-2025)))*(G$26-$F$93)/(Inputs!$K$134-$F$93))*G71,G92)</f>
        <v>37.32266666666667</v>
      </c>
      <c r="H86" s="122">
        <f>IF(AND($F$93&gt;0,H$26&gt;$F$93),((INDEX($F$92:$P$92,$F$93-2025)/INDEX($F$71:$P$71,$F$93-2025))+($F$21-(INDEX($F$92:$P$92,$F$93-2025)/INDEX($F$71:$P$71,$F$93-2025)))*(H$26-$F$93)/(Inputs!$K$134-$F$93))*H71,H92)</f>
        <v>59.716266666666677</v>
      </c>
      <c r="I86" s="122">
        <f>IF(AND($F$93&gt;0,I$26&gt;$F$93),((INDEX($F$92:$P$92,$F$93-2025)/INDEX($F$71:$P$71,$F$93-2025))+($F$21-(INDEX($F$92:$P$92,$F$93-2025)/INDEX($F$71:$P$71,$F$93-2025)))*(I$26-$F$93)/(Inputs!$K$134-$F$93))*I71,I92)</f>
        <v>78.028293363987459</v>
      </c>
      <c r="J86" s="122">
        <f>IF(AND($F$93&gt;0,J$26&gt;$F$93),((INDEX($F$92:$P$92,$F$93-2025)/INDEX($F$71:$P$71,$F$93-2025))+($F$21-(INDEX($F$92:$P$92,$F$93-2025)/INDEX($F$71:$P$71,$F$93-2025)))*(J$26-$F$93)/(Inputs!$K$134-$F$93))*J71,J92)</f>
        <v>94.78166769283817</v>
      </c>
      <c r="K86" s="122">
        <f>IF(AND($F$93&gt;0,K$26&gt;$F$93),((INDEX($F$92:$P$92,$F$93-2025)/INDEX($F$71:$P$71,$F$93-2025))+($F$21-(INDEX($F$92:$P$92,$F$93-2025)/INDEX($F$71:$P$71,$F$93-2025)))*(K$26-$F$93)/(Inputs!$K$134-$F$93))*K71,K92)</f>
        <v>109.42412273245886</v>
      </c>
      <c r="L86" s="122">
        <f>IF(AND($F$93&gt;0,L$26&gt;$F$93),((INDEX($F$92:$P$92,$F$93-2025)/INDEX($F$71:$P$71,$F$93-2025))+($F$21-(INDEX($F$92:$P$92,$F$93-2025)/INDEX($F$71:$P$71,$F$93-2025)))*(L$26-$F$93)/(Inputs!$K$134-$F$93))*L71,L92)</f>
        <v>121.71058077121667</v>
      </c>
      <c r="M86" s="122">
        <f>IF(AND($F$93&gt;0,M$26&gt;$F$93),((INDEX($F$92:$P$92,$F$93-2025)/INDEX($F$71:$P$71,$F$93-2025))+($F$21-(INDEX($F$92:$P$92,$F$93-2025)/INDEX($F$71:$P$71,$F$93-2025)))*(M$26-$F$93)/(Inputs!$K$134-$F$93))*M71,M92)</f>
        <v>131.58591743415047</v>
      </c>
      <c r="N86" s="122">
        <f>IF(AND($F$93&gt;0,N$26&gt;$F$93),((INDEX($F$92:$P$92,$F$93-2025)/INDEX($F$71:$P$71,$F$93-2025))+($F$21-(INDEX($F$92:$P$92,$F$93-2025)/INDEX($F$71:$P$71,$F$93-2025)))*(N$26-$F$93)/(Inputs!$K$134-$F$93))*N71,N92)</f>
        <v>139.10585013112774</v>
      </c>
      <c r="O86" s="122">
        <f>IF(AND($F$93&gt;0,O$26&gt;$F$93),((INDEX($F$92:$P$92,$F$93-2025)/INDEX($F$71:$P$71,$F$93-2025))+($F$21-(INDEX($F$92:$P$92,$F$93-2025)/INDEX($F$71:$P$71,$F$93-2025)))*(O$26-$F$93)/(Inputs!$K$134-$F$93))*O71,O92)</f>
        <v>144.38453072237476</v>
      </c>
      <c r="P86" s="122">
        <f>IF(AND($F$93&gt;0,P$26&gt;$F$93),((INDEX($F$92:$P$92,$F$93-2025)/INDEX($F$71:$P$71,$F$93-2025))+($F$21-(INDEX($F$92:$P$92,$F$93-2025)/INDEX($F$71:$P$71,$F$93-2025)))*(P$26-$F$93)/(Inputs!$K$134-$F$93))*P71,P92)</f>
        <v>147.56065100415933</v>
      </c>
      <c r="Q86" s="45" t="s">
        <v>2193</v>
      </c>
    </row>
    <row r="87" spans="2:17" x14ac:dyDescent="0.2">
      <c r="D87" s="10" t="s">
        <v>1302</v>
      </c>
      <c r="E87" s="10" t="s">
        <v>54</v>
      </c>
      <c r="F87" s="117">
        <f t="shared" ref="F87:P87" si="39">F86/F71</f>
        <v>0.21011340869733203</v>
      </c>
      <c r="G87" s="117">
        <f t="shared" si="39"/>
        <v>0.29197686000732193</v>
      </c>
      <c r="H87" s="117">
        <f t="shared" si="39"/>
        <v>0.30646825124873422</v>
      </c>
      <c r="I87" s="117">
        <f t="shared" si="39"/>
        <v>0.29315971984264244</v>
      </c>
      <c r="J87" s="117">
        <f t="shared" si="39"/>
        <v>0.27985118843655066</v>
      </c>
      <c r="K87" s="117">
        <f t="shared" si="39"/>
        <v>0.26654265703045887</v>
      </c>
      <c r="L87" s="117">
        <f t="shared" si="39"/>
        <v>0.25323412562436709</v>
      </c>
      <c r="M87" s="117">
        <f t="shared" si="39"/>
        <v>0.23992559421827533</v>
      </c>
      <c r="N87" s="117">
        <f t="shared" si="39"/>
        <v>0.22661706281218358</v>
      </c>
      <c r="O87" s="117">
        <f t="shared" si="39"/>
        <v>0.21330853140609182</v>
      </c>
      <c r="P87" s="117">
        <f t="shared" si="39"/>
        <v>0.2</v>
      </c>
    </row>
    <row r="88" spans="2:17" x14ac:dyDescent="0.2">
      <c r="D88" s="11" t="s">
        <v>1303</v>
      </c>
      <c r="E88" s="10" t="s">
        <v>51</v>
      </c>
      <c r="F88" s="119">
        <f t="shared" ref="F88:P88" si="40">F84+F86</f>
        <v>31.400149333333339</v>
      </c>
      <c r="G88" s="119">
        <f t="shared" si="40"/>
        <v>57.632407348505787</v>
      </c>
      <c r="H88" s="119">
        <f t="shared" si="40"/>
        <v>93.665254800166366</v>
      </c>
      <c r="I88" s="119">
        <f t="shared" si="40"/>
        <v>128.52113907332361</v>
      </c>
      <c r="J88" s="119">
        <f t="shared" si="40"/>
        <v>164.32080614126093</v>
      </c>
      <c r="K88" s="119">
        <f t="shared" si="40"/>
        <v>200.16732581130191</v>
      </c>
      <c r="L88" s="119">
        <f t="shared" si="40"/>
        <v>235.53636127008696</v>
      </c>
      <c r="M88" s="119">
        <f t="shared" si="40"/>
        <v>261.6010290326002</v>
      </c>
      <c r="N88" s="119">
        <f t="shared" si="40"/>
        <v>284.74346860074195</v>
      </c>
      <c r="O88" s="119">
        <f t="shared" si="40"/>
        <v>305.09079335612591</v>
      </c>
      <c r="P88" s="119">
        <f t="shared" si="40"/>
        <v>322.83105503059312</v>
      </c>
      <c r="Q88" s="10" t="s">
        <v>1304</v>
      </c>
    </row>
    <row r="89" spans="2:17" ht="25.5" x14ac:dyDescent="0.2">
      <c r="D89" s="45" t="s">
        <v>1391</v>
      </c>
      <c r="E89" s="10" t="s">
        <v>113</v>
      </c>
      <c r="F89" s="114">
        <f t="shared" ref="F89:P89" si="41">IF(AND(MIN(F39,F36,F37,F38)&gt;=-0.000001,F28&lt;1),1,0)</f>
        <v>1</v>
      </c>
      <c r="G89" s="114">
        <f t="shared" si="41"/>
        <v>1</v>
      </c>
      <c r="H89" s="114">
        <f t="shared" si="41"/>
        <v>1</v>
      </c>
      <c r="I89" s="114">
        <f t="shared" si="41"/>
        <v>1</v>
      </c>
      <c r="J89" s="114">
        <f t="shared" si="41"/>
        <v>1</v>
      </c>
      <c r="K89" s="114">
        <f t="shared" si="41"/>
        <v>1</v>
      </c>
      <c r="L89" s="114">
        <f t="shared" si="41"/>
        <v>1</v>
      </c>
      <c r="M89" s="114">
        <f t="shared" si="41"/>
        <v>1</v>
      </c>
      <c r="N89" s="114">
        <f t="shared" si="41"/>
        <v>1</v>
      </c>
      <c r="O89" s="114">
        <f t="shared" si="41"/>
        <v>1</v>
      </c>
      <c r="P89" s="114">
        <f t="shared" si="41"/>
        <v>1</v>
      </c>
    </row>
    <row r="90" spans="2:17" x14ac:dyDescent="0.2">
      <c r="F90" s="123"/>
      <c r="G90" s="123"/>
      <c r="H90" s="123"/>
      <c r="I90" s="123"/>
      <c r="J90" s="123"/>
      <c r="K90" s="123"/>
      <c r="L90" s="123"/>
      <c r="M90" s="123"/>
      <c r="N90" s="123"/>
      <c r="O90" s="123"/>
      <c r="P90" s="123"/>
    </row>
    <row r="91" spans="2:17" x14ac:dyDescent="0.2">
      <c r="D91" s="11" t="s">
        <v>2027</v>
      </c>
    </row>
    <row r="92" spans="2:17" x14ac:dyDescent="0.2">
      <c r="D92" s="4" t="s">
        <v>1520</v>
      </c>
      <c r="E92" s="4" t="s">
        <v>51</v>
      </c>
      <c r="F92" s="97">
        <f>F86</f>
        <v>18.661333333333335</v>
      </c>
      <c r="G92" s="97">
        <f>IF(G$26=2027,F92*(1+Inputs!$K$132),IF(G$26=2028,F92*(1+Inputs!$K$133),($H92/$H71+($F$94-$H92/$H71)*MIN(1,(G$26-2028)/(Inputs!$K$134-2028)))*G71))</f>
        <v>37.32266666666667</v>
      </c>
      <c r="H92" s="97">
        <f>IF(H$26=2027,G92*(1+Inputs!$K$132),IF(H$26=2028,G92*(1+Inputs!$K$133),($H92/$H71+($F$94-$H92/$H71)*MIN(1,(H$26-2028)/(Inputs!$K$134-2028)))*H71))</f>
        <v>59.716266666666677</v>
      </c>
      <c r="I92" s="97">
        <f>IF(I$26=2027,H92*(1+Inputs!$K$132),IF(I$26=2028,H92*(1+Inputs!$K$133),($H92/$H71+($F$94-$H92/$H71)*MIN(1,(I$26-2028)/(Inputs!$K$134-2028)))*I71))</f>
        <v>78.028293363987459</v>
      </c>
      <c r="J92" s="97">
        <f>IF(J$26=2027,I92*(1+Inputs!$K$132),IF(J$26=2028,I92*(1+Inputs!$K$133),($H92/$H71+($F$94-$H92/$H71)*MIN(1,(J$26-2028)/(Inputs!$K$134-2028)))*J71))</f>
        <v>94.78166769283817</v>
      </c>
      <c r="K92" s="97">
        <f>IF(K$26=2027,J92*(1+Inputs!$K$132),IF(K$26=2028,J92*(1+Inputs!$K$133),($H92/$H71+($F$94-$H92/$H71)*MIN(1,(K$26-2028)/(Inputs!$K$134-2028)))*K71))</f>
        <v>109.42412273245886</v>
      </c>
      <c r="L92" s="97">
        <f>IF(L$26=2027,K92*(1+Inputs!$K$132),IF(L$26=2028,K92*(1+Inputs!$K$133),($H92/$H71+($F$94-$H92/$H71)*MIN(1,(L$26-2028)/(Inputs!$K$134-2028)))*L71))</f>
        <v>121.71058077121667</v>
      </c>
      <c r="M92" s="97">
        <f>IF(M$26=2027,L92*(1+Inputs!$K$132),IF(M$26=2028,L92*(1+Inputs!$K$133),($H92/$H71+($F$94-$H92/$H71)*MIN(1,(M$26-2028)/(Inputs!$K$134-2028)))*M71))</f>
        <v>131.58591743415047</v>
      </c>
      <c r="N92" s="97">
        <f>IF(N$26=2027,M92*(1+Inputs!$K$132),IF(N$26=2028,M92*(1+Inputs!$K$133),($H92/$H71+($F$94-$H92/$H71)*MIN(1,(N$26-2028)/(Inputs!$K$134-2028)))*N71))</f>
        <v>139.10585013112774</v>
      </c>
      <c r="O92" s="97">
        <f>IF(O$26=2027,N92*(1+Inputs!$K$132),IF(O$26=2028,N92*(1+Inputs!$K$133),($H92/$H71+($F$94-$H92/$H71)*MIN(1,(O$26-2028)/(Inputs!$K$134-2028)))*O71))</f>
        <v>144.38453072237476</v>
      </c>
      <c r="P92" s="97">
        <f>IF(P$26=2027,O92*(1+Inputs!$K$132),IF(P$26=2028,O92*(1+Inputs!$K$133),($H92/$H71+($F$94-$H92/$H71)*MIN(1,(P$26-2028)/(Inputs!$K$134-2028)))*P71))</f>
        <v>147.56065100415933</v>
      </c>
    </row>
    <row r="93" spans="2:17" ht="25.5" x14ac:dyDescent="0.2">
      <c r="D93" s="36" t="s">
        <v>1521</v>
      </c>
      <c r="E93" s="4" t="s">
        <v>827</v>
      </c>
      <c r="F93" s="107">
        <f>IF(OR(N(dt_Case)=Sensitivities!$N$51,ISNUMBER(dt_Train),ISNUMBER(IF(N(dt_Your)=1,'Your case'!$E$9,dt_Margin)),N(dt_Replay)&gt;0),0,Inputs!$K$57)</f>
        <v>0</v>
      </c>
    </row>
    <row r="94" spans="2:17" x14ac:dyDescent="0.2">
      <c r="D94" s="4" t="s">
        <v>1522</v>
      </c>
      <c r="E94" s="4" t="s">
        <v>54</v>
      </c>
      <c r="F94" s="102">
        <f>IF($F$93&gt;0,Inputs!$K$58,$F$21)</f>
        <v>0.2</v>
      </c>
    </row>
    <row r="96" spans="2:17" x14ac:dyDescent="0.2">
      <c r="B96" s="5" t="s">
        <v>8</v>
      </c>
      <c r="C96" s="5" t="s">
        <v>8</v>
      </c>
      <c r="D96" s="72" t="s">
        <v>1927</v>
      </c>
      <c r="E96" s="167"/>
      <c r="F96" s="167"/>
      <c r="G96" s="167"/>
      <c r="H96" s="167"/>
      <c r="I96" s="167"/>
      <c r="J96" s="167"/>
      <c r="K96" s="167"/>
      <c r="L96" s="167"/>
      <c r="M96" s="167"/>
      <c r="N96" s="167"/>
      <c r="O96" s="167"/>
      <c r="P96" s="167"/>
      <c r="Q96" s="167"/>
    </row>
    <row r="97" spans="4:7" x14ac:dyDescent="0.2">
      <c r="D97" s="10" t="s">
        <v>1374</v>
      </c>
      <c r="E97" s="193">
        <f>Inputs!$K$100</f>
        <v>88.815528</v>
      </c>
      <c r="F97" s="193">
        <f>'Revenue Engine'!$F$71</f>
        <v>88.815528</v>
      </c>
      <c r="G97" s="194">
        <f>F97-E97</f>
        <v>0</v>
      </c>
    </row>
    <row r="98" spans="4:7" x14ac:dyDescent="0.2">
      <c r="D98" s="10" t="s">
        <v>1351</v>
      </c>
      <c r="E98" s="193">
        <f>Inputs!$K$110</f>
        <v>62.706829978942309</v>
      </c>
      <c r="F98" s="193">
        <f>'Revenue Engine'!$F$73</f>
        <v>62.706829978942309</v>
      </c>
      <c r="G98" s="194">
        <f>F98-E98</f>
        <v>0</v>
      </c>
    </row>
    <row r="99" spans="4:7" x14ac:dyDescent="0.2">
      <c r="D99" s="10" t="s">
        <v>1352</v>
      </c>
      <c r="E99" s="193">
        <f>Inputs!$K$100-Inputs!$K$110</f>
        <v>26.108698021057691</v>
      </c>
      <c r="F99" s="193">
        <f>'Revenue Engine'!$F$74</f>
        <v>26.108698021057691</v>
      </c>
      <c r="G99" s="194">
        <f>F99-E99</f>
        <v>0</v>
      </c>
    </row>
    <row r="100" spans="4:7" x14ac:dyDescent="0.2">
      <c r="D100" s="10" t="s">
        <v>1353</v>
      </c>
      <c r="E100" s="193">
        <f>Inputs!$K$100*Inputs!$K$104</f>
        <v>70.284016592503463</v>
      </c>
      <c r="F100" s="193">
        <f>'Revenue Engine'!$F$76</f>
        <v>70.284016592503463</v>
      </c>
      <c r="G100" s="194">
        <f>F100-E100</f>
        <v>0</v>
      </c>
    </row>
    <row r="101" spans="4:7" x14ac:dyDescent="0.2">
      <c r="D101" s="10" t="s">
        <v>1354</v>
      </c>
      <c r="E101" s="193">
        <f>Inputs!$K$100*(1-Inputs!$K$104)</f>
        <v>18.531511407496541</v>
      </c>
      <c r="F101" s="193">
        <f>'Revenue Engine'!$F$75</f>
        <v>18.531511407496545</v>
      </c>
      <c r="G101" s="194">
        <f>F101-E101</f>
        <v>0</v>
      </c>
    </row>
    <row r="102" spans="4:7" x14ac:dyDescent="0.2">
      <c r="D102" s="45" t="s">
        <v>1375</v>
      </c>
      <c r="E102" s="123" t="str">
        <f>TEXT(Inputs!$K$121,"0.0%")&amp;" / "&amp;TEXT(Inputs!$K$90,"0.0%")&amp;" / "&amp;TEXT(Inputs!$K$119,"0.0%")&amp;" / "&amp;TEXT(Inputs!$K$120,"0.0%")</f>
        <v>10.0% / 33.0% / 36.5% / 20.6%</v>
      </c>
    </row>
    <row r="103" spans="4:7" x14ac:dyDescent="0.2">
      <c r="D103" s="10" t="s">
        <v>1355</v>
      </c>
      <c r="E103" s="123" t="str">
        <f>TEXT(Inputs!$K$89,"0.0%")&amp;" / $"&amp;TEXT(Inputs!$K$89*Inputs!$K$116,"0")</f>
        <v>6.5% / $516</v>
      </c>
    </row>
    <row r="104" spans="4:7" x14ac:dyDescent="0.2">
      <c r="D104" s="10" t="s">
        <v>1376</v>
      </c>
      <c r="E104" s="195">
        <f>Inputs!$K$122</f>
        <v>167.38019804359999</v>
      </c>
    </row>
    <row r="105" spans="4:7" ht="25.5" x14ac:dyDescent="0.2">
      <c r="D105" s="45" t="s">
        <v>1356</v>
      </c>
      <c r="E105" s="123" t="str">
        <f>TEXT(Inputs!$K$105,"0%")&amp;" / "&amp;TEXT(Inputs!$K$118,"0.0%")&amp;" / "&amp;TEXT('Revenue Engine'!$F$79,"0.0%")</f>
        <v>24% / 52.6% / 42.1%</v>
      </c>
    </row>
    <row r="106" spans="4:7" x14ac:dyDescent="0.2">
      <c r="D106" s="10" t="s">
        <v>1357</v>
      </c>
      <c r="E106" s="123" t="str">
        <f>TEXT('Revenue Engine'!$F$62,"0")&amp;" / "&amp;TEXT('Revenue Engine'!$F$64,"0.00%")</f>
        <v>201 / 1.11%</v>
      </c>
    </row>
    <row r="107" spans="4:7" x14ac:dyDescent="0.2">
      <c r="D107" s="45" t="s">
        <v>1395</v>
      </c>
      <c r="E107" s="123" t="str">
        <f>TEXT(Inputs!$K$123,"0.0%")&amp;" / "&amp;TEXT(Inputs!$K$124,"0%")</f>
        <v>26.1% / 61%</v>
      </c>
    </row>
    <row r="108" spans="4:7" x14ac:dyDescent="0.2">
      <c r="D108" s="45" t="s">
        <v>1377</v>
      </c>
      <c r="E108" s="123" t="str">
        <f>TEXT(Inputs!$K$125,"0.0")&amp;" / "&amp;TEXT(Inputs!$K$126,"0.0")</f>
        <v>70.5 / 9.6</v>
      </c>
    </row>
    <row r="109" spans="4:7" x14ac:dyDescent="0.2">
      <c r="D109" s="10" t="s">
        <v>1979</v>
      </c>
      <c r="E109" s="196">
        <f>Inputs!$K$128</f>
        <v>0.92507471368274441</v>
      </c>
    </row>
    <row r="110" spans="4:7" x14ac:dyDescent="0.2">
      <c r="D110" s="10" t="s">
        <v>1199</v>
      </c>
      <c r="E110" s="197">
        <f>Inputs!$K$113</f>
        <v>4.6128863740787125E-2</v>
      </c>
    </row>
    <row r="111" spans="4:7" x14ac:dyDescent="0.2">
      <c r="D111" s="7" t="s">
        <v>1980</v>
      </c>
    </row>
  </sheetData>
  <pageMargins left="0.7" right="0.7" top="0.75" bottom="0.75" header="0.3" footer="0.3"/>
  <pageSetup scale="44" fitToHeight="0" orientation="landscape"/>
  <headerFooter>
    <oddFooter>&amp;C&amp;A, 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00B050"/>
    <pageSetUpPr fitToPage="1"/>
  </sheetPr>
  <dimension ref="A1:W177"/>
  <sheetViews>
    <sheetView showGridLines="0" zoomScale="85" workbookViewId="0">
      <pane xSplit="6" ySplit="6" topLeftCell="G7" activePane="bottomRight" state="frozenSplit"/>
      <selection pane="topRight" activeCell="G1" sqref="G1"/>
      <selection pane="bottomLeft" activeCell="A7" sqref="A7"/>
      <selection pane="bottomRight"/>
    </sheetView>
  </sheetViews>
  <sheetFormatPr defaultRowHeight="12.75" x14ac:dyDescent="0.2"/>
  <cols>
    <col min="1" max="1" width="1.7109375" style="10" customWidth="1"/>
    <col min="2" max="3" width="2.28515625" style="10" customWidth="1"/>
    <col min="4" max="4" width="62.7109375" style="10" customWidth="1"/>
    <col min="5" max="5" width="5.85546875" style="10" customWidth="1"/>
    <col min="6" max="8" width="11" style="10" customWidth="1"/>
    <col min="9" max="9" width="10" style="10" customWidth="1"/>
    <col min="10" max="15" width="9" style="10" customWidth="1"/>
    <col min="16" max="17" width="10" style="10" customWidth="1"/>
    <col min="18" max="18" width="2" style="10" customWidth="1"/>
    <col min="19" max="16384" width="9.140625" style="10"/>
  </cols>
  <sheetData>
    <row r="1" spans="1:18" ht="12.75" customHeight="1" x14ac:dyDescent="0.25">
      <c r="A1" s="218" t="s">
        <v>2148</v>
      </c>
    </row>
    <row r="2" spans="1:18" ht="12.75" customHeight="1" x14ac:dyDescent="0.2">
      <c r="A2" s="219" t="s">
        <v>26</v>
      </c>
    </row>
    <row r="3" spans="1:18" ht="12.75" customHeight="1" x14ac:dyDescent="0.2">
      <c r="A3" s="220" t="s">
        <v>976</v>
      </c>
    </row>
    <row r="4" spans="1:18" ht="12.75" customHeight="1" x14ac:dyDescent="0.2">
      <c r="A4" s="214"/>
      <c r="B4" s="214"/>
      <c r="C4" s="214"/>
      <c r="D4" s="214"/>
      <c r="E4" s="214"/>
      <c r="F4" s="214"/>
      <c r="G4" s="214"/>
      <c r="H4" s="214"/>
      <c r="I4" s="214"/>
      <c r="J4" s="214"/>
      <c r="K4" s="214"/>
      <c r="L4" s="214"/>
      <c r="M4" s="214"/>
      <c r="N4" s="214"/>
      <c r="O4" s="214"/>
      <c r="P4" s="214"/>
      <c r="Q4" s="214"/>
      <c r="R4" s="214"/>
    </row>
    <row r="5" spans="1:18" x14ac:dyDescent="0.2">
      <c r="D5" s="11" t="s">
        <v>154</v>
      </c>
      <c r="F5" s="11" t="str">
        <f>IF(Inputs!$K$37=6,"Volume leader",INDEX({"Demand plateau","Base","Premium Frontier","Commoditisation","Share loss"},Inputs!$K$5))</f>
        <v>Base</v>
      </c>
    </row>
    <row r="6" spans="1:18" x14ac:dyDescent="0.2">
      <c r="D6" s="198" t="s">
        <v>155</v>
      </c>
      <c r="E6" s="198" t="s">
        <v>39</v>
      </c>
      <c r="F6" s="198" t="s">
        <v>156</v>
      </c>
      <c r="G6" s="199" t="s">
        <v>977</v>
      </c>
      <c r="H6" s="199" t="s">
        <v>157</v>
      </c>
      <c r="I6" s="199" t="s">
        <v>158</v>
      </c>
      <c r="J6" s="199" t="s">
        <v>159</v>
      </c>
      <c r="K6" s="199" t="s">
        <v>160</v>
      </c>
      <c r="L6" s="199" t="s">
        <v>161</v>
      </c>
      <c r="M6" s="199" t="s">
        <v>162</v>
      </c>
      <c r="N6" s="199" t="s">
        <v>163</v>
      </c>
      <c r="O6" s="199" t="s">
        <v>164</v>
      </c>
      <c r="P6" s="199" t="s">
        <v>165</v>
      </c>
      <c r="Q6" s="199" t="s">
        <v>166</v>
      </c>
    </row>
    <row r="7" spans="1:18" x14ac:dyDescent="0.2">
      <c r="B7" s="200" t="s">
        <v>8</v>
      </c>
      <c r="C7" s="200" t="s">
        <v>8</v>
      </c>
      <c r="D7" s="201" t="s">
        <v>1967</v>
      </c>
      <c r="E7" s="202"/>
      <c r="F7" s="202"/>
      <c r="G7" s="202"/>
      <c r="H7" s="202"/>
      <c r="I7" s="202"/>
      <c r="J7" s="202"/>
      <c r="K7" s="202"/>
      <c r="L7" s="202"/>
      <c r="M7" s="202"/>
      <c r="N7" s="202"/>
      <c r="O7" s="202"/>
      <c r="P7" s="202"/>
      <c r="Q7" s="202"/>
      <c r="R7" s="202"/>
    </row>
    <row r="8" spans="1:18" x14ac:dyDescent="0.2">
      <c r="C8" s="200" t="s">
        <v>8</v>
      </c>
      <c r="D8" s="203" t="s">
        <v>167</v>
      </c>
      <c r="E8" s="215"/>
      <c r="F8" s="215"/>
      <c r="G8" s="215"/>
      <c r="H8" s="215"/>
      <c r="I8" s="215"/>
      <c r="J8" s="215"/>
      <c r="K8" s="215"/>
      <c r="L8" s="215"/>
      <c r="M8" s="215"/>
      <c r="N8" s="215"/>
      <c r="O8" s="215"/>
      <c r="P8" s="215"/>
      <c r="Q8" s="215"/>
      <c r="R8" s="215"/>
    </row>
    <row r="9" spans="1:18" x14ac:dyDescent="0.2">
      <c r="D9" s="63" t="s">
        <v>168</v>
      </c>
      <c r="E9" s="7" t="s">
        <v>54</v>
      </c>
      <c r="F9" s="18">
        <f>Inputs!$K$97</f>
        <v>0.35</v>
      </c>
    </row>
    <row r="10" spans="1:18" x14ac:dyDescent="0.2">
      <c r="D10" s="63" t="s">
        <v>169</v>
      </c>
      <c r="E10" s="7" t="s">
        <v>54</v>
      </c>
      <c r="F10" s="18">
        <f>Inputs!$K$98</f>
        <v>0.03</v>
      </c>
    </row>
    <row r="11" spans="1:18" ht="25.5" x14ac:dyDescent="0.2">
      <c r="D11" s="36" t="s">
        <v>1968</v>
      </c>
      <c r="E11" s="7" t="s">
        <v>54</v>
      </c>
      <c r="F11" s="75">
        <f>IF(ISNUMBER(dt_Growth),dt_Growth,IF(N(dt_Replay)&gt;0,INDEX('Reverse Valuation'!$E$25:$I$26,INT((dt_Replay-1)/COLUMNS('Reverse Valuation'!$E$24:$I$24))+1,MOD(dt_Replay-1,COLUMNS('Reverse Valuation'!$E$24:$I$24))+1),Inputs!$K$14))</f>
        <v>0.19209999999999999</v>
      </c>
    </row>
    <row r="12" spans="1:18" x14ac:dyDescent="0.2">
      <c r="D12" s="63" t="s">
        <v>1306</v>
      </c>
      <c r="E12" s="7" t="s">
        <v>827</v>
      </c>
      <c r="F12" s="124">
        <f>IF(ISNUMBER(dt_Decay),dt_Decay,IF(ISNUMBER(Sensitivities!$E$119),Sensitivities!$E$119,Inputs!$K$16))</f>
        <v>2029.17</v>
      </c>
    </row>
    <row r="13" spans="1:18" x14ac:dyDescent="0.2">
      <c r="D13" s="63" t="s">
        <v>1309</v>
      </c>
      <c r="E13" s="7" t="s">
        <v>54</v>
      </c>
      <c r="F13" s="18">
        <f>Inputs!$K$185</f>
        <v>3.5000000000000003E-2</v>
      </c>
    </row>
    <row r="14" spans="1:18" x14ac:dyDescent="0.2">
      <c r="D14" s="36" t="s">
        <v>1307</v>
      </c>
      <c r="E14" s="7" t="s">
        <v>54</v>
      </c>
      <c r="F14" s="75">
        <f>IF(ISNUMBER(IF(N(dt_Your)=1,'Your case'!$E$9,dt_Margin)),1-IF(N(dt_Your)=1,'Your case'!$E$9,dt_Margin)-$F$15-Inputs!$K$143-$Q$49-Inputs!$K$147-Inputs!$K$152-'Revenue Engine'!$P$85,IF(N(dt_Replay)&gt;0,1-INDEX('Reverse Valuation'!$E$24:$I$24,1,MOD(dt_Replay-1,COLUMNS('Reverse Valuation'!$E$24:$I$24))+1)-$F$15-Inputs!$K$143-$Q$49-Inputs!$K$147-Inputs!$K$152-'Revenue Engine'!$P$85,IF(ISNUMBER(dt_Train),dt_Train,IF(N(dt_Case)=Sensitivities!$N$51,Inputs!$K$197,Inputs!$K$24))))</f>
        <v>0.2</v>
      </c>
    </row>
    <row r="15" spans="1:18" x14ac:dyDescent="0.2">
      <c r="D15" s="63" t="s">
        <v>61</v>
      </c>
      <c r="E15" s="7" t="s">
        <v>54</v>
      </c>
      <c r="F15" s="18">
        <f>Inputs!$K$141-Inputs!$K$71</f>
        <v>5.5000000000000007E-2</v>
      </c>
    </row>
    <row r="16" spans="1:18" x14ac:dyDescent="0.2">
      <c r="D16" s="63" t="s">
        <v>170</v>
      </c>
      <c r="E16" s="7" t="s">
        <v>54</v>
      </c>
      <c r="F16" s="18">
        <f>Inputs!$K$143</f>
        <v>0.06</v>
      </c>
    </row>
    <row r="17" spans="4:6" x14ac:dyDescent="0.2">
      <c r="D17" s="63" t="s">
        <v>1422</v>
      </c>
      <c r="E17" s="7" t="s">
        <v>54</v>
      </c>
      <c r="F17" s="18">
        <f>Inputs!$K$165</f>
        <v>0.115</v>
      </c>
    </row>
    <row r="18" spans="4:6" x14ac:dyDescent="0.2">
      <c r="D18" s="63" t="s">
        <v>171</v>
      </c>
      <c r="E18" s="7" t="s">
        <v>54</v>
      </c>
      <c r="F18" s="18">
        <f>Inputs!$K$147+Inputs!$K$62</f>
        <v>0.05</v>
      </c>
    </row>
    <row r="19" spans="4:6" x14ac:dyDescent="0.2">
      <c r="D19" s="63" t="s">
        <v>172</v>
      </c>
      <c r="E19" s="7" t="s">
        <v>59</v>
      </c>
      <c r="F19" s="19">
        <f>Inputs!$K$238</f>
        <v>1</v>
      </c>
    </row>
    <row r="20" spans="4:6" x14ac:dyDescent="0.2">
      <c r="D20" s="63" t="s">
        <v>173</v>
      </c>
      <c r="E20" s="7" t="s">
        <v>54</v>
      </c>
      <c r="F20" s="18">
        <f>Inputs!$K$169</f>
        <v>0.8</v>
      </c>
    </row>
    <row r="21" spans="4:6" x14ac:dyDescent="0.2">
      <c r="D21" s="63" t="s">
        <v>174</v>
      </c>
      <c r="E21" s="7" t="s">
        <v>54</v>
      </c>
      <c r="F21" s="18">
        <f>Inputs!$K$170</f>
        <v>1</v>
      </c>
    </row>
    <row r="22" spans="4:6" x14ac:dyDescent="0.2">
      <c r="D22" s="63" t="s">
        <v>175</v>
      </c>
      <c r="E22" s="7" t="s">
        <v>54</v>
      </c>
      <c r="F22" s="18">
        <f>Inputs!$K$171</f>
        <v>0</v>
      </c>
    </row>
    <row r="23" spans="4:6" x14ac:dyDescent="0.2">
      <c r="D23" s="63" t="s">
        <v>176</v>
      </c>
      <c r="E23" s="7" t="s">
        <v>54</v>
      </c>
      <c r="F23" s="18">
        <f>Inputs!$K$172</f>
        <v>1</v>
      </c>
    </row>
    <row r="24" spans="4:6" ht="25.5" x14ac:dyDescent="0.2">
      <c r="D24" s="36" t="s">
        <v>1458</v>
      </c>
      <c r="E24" s="7" t="s">
        <v>54</v>
      </c>
      <c r="F24" s="18">
        <f>DCF!$E$10</f>
        <v>9.69E-2</v>
      </c>
    </row>
    <row r="25" spans="4:6" x14ac:dyDescent="0.2">
      <c r="D25" s="63" t="s">
        <v>14</v>
      </c>
      <c r="E25" s="7" t="s">
        <v>54</v>
      </c>
      <c r="F25" s="75">
        <f>IF(ISNUMBER(dt_TermGrowth),dt_TermGrowth,Inputs!$K$185)</f>
        <v>3.5000000000000003E-2</v>
      </c>
    </row>
    <row r="26" spans="4:6" x14ac:dyDescent="0.2">
      <c r="D26" s="63" t="s">
        <v>15</v>
      </c>
      <c r="E26" s="7" t="s">
        <v>54</v>
      </c>
      <c r="F26" s="18">
        <f>Inputs!$K$188</f>
        <v>0</v>
      </c>
    </row>
    <row r="27" spans="4:6" x14ac:dyDescent="0.2">
      <c r="D27" s="63" t="s">
        <v>177</v>
      </c>
      <c r="E27" s="7" t="s">
        <v>113</v>
      </c>
      <c r="F27" s="86">
        <f>IF(N(dt_Case)=Sensitivities!$F$51,0,1)</f>
        <v>1</v>
      </c>
    </row>
    <row r="28" spans="4:6" x14ac:dyDescent="0.2">
      <c r="D28" s="63" t="s">
        <v>178</v>
      </c>
      <c r="E28" s="7" t="s">
        <v>113</v>
      </c>
      <c r="F28" s="86">
        <f>IF(N(dt_Case)=Sensitivities!$H$51,0,1)</f>
        <v>1</v>
      </c>
    </row>
    <row r="29" spans="4:6" x14ac:dyDescent="0.2">
      <c r="D29" s="63" t="s">
        <v>894</v>
      </c>
      <c r="E29" s="7" t="s">
        <v>114</v>
      </c>
      <c r="F29" s="1">
        <f>Inputs!$K$26</f>
        <v>82.236999999999995</v>
      </c>
    </row>
    <row r="30" spans="4:6" x14ac:dyDescent="0.2">
      <c r="D30" s="63" t="s">
        <v>179</v>
      </c>
      <c r="E30" s="7" t="s">
        <v>113</v>
      </c>
      <c r="F30" s="86">
        <f>IF(N(dt_Case)=Sensitivities!$G$51,1,0)</f>
        <v>0</v>
      </c>
    </row>
    <row r="31" spans="4:6" x14ac:dyDescent="0.2">
      <c r="D31" s="63" t="s">
        <v>851</v>
      </c>
      <c r="E31" s="7" t="s">
        <v>113</v>
      </c>
      <c r="F31" s="86">
        <f>IF(N(dt_Case)=Sensitivities!$I$51,1,0)</f>
        <v>0</v>
      </c>
    </row>
    <row r="32" spans="4:6" x14ac:dyDescent="0.2">
      <c r="D32" s="4" t="s">
        <v>1308</v>
      </c>
      <c r="E32" s="10" t="s">
        <v>54</v>
      </c>
      <c r="F32" s="216">
        <f>IF(ISNUMBER(dt_Serve),dt_Serve,IF(ISNUMBER(Sensitivities!$E$117),Sensitivities!$E$117,Inputs!$K$21))</f>
        <v>0.12</v>
      </c>
    </row>
    <row r="33" spans="3:18" x14ac:dyDescent="0.2">
      <c r="D33" s="198" t="s">
        <v>155</v>
      </c>
      <c r="E33" s="198" t="s">
        <v>39</v>
      </c>
      <c r="G33" s="199" t="s">
        <v>977</v>
      </c>
      <c r="H33" s="199" t="s">
        <v>157</v>
      </c>
      <c r="I33" s="199" t="s">
        <v>158</v>
      </c>
      <c r="J33" s="199" t="s">
        <v>159</v>
      </c>
      <c r="K33" s="199" t="s">
        <v>160</v>
      </c>
      <c r="L33" s="199" t="s">
        <v>161</v>
      </c>
      <c r="M33" s="199" t="s">
        <v>162</v>
      </c>
      <c r="N33" s="199" t="s">
        <v>163</v>
      </c>
      <c r="O33" s="199" t="s">
        <v>164</v>
      </c>
      <c r="P33" s="199" t="s">
        <v>165</v>
      </c>
      <c r="Q33" s="199" t="s">
        <v>166</v>
      </c>
    </row>
    <row r="34" spans="3:18" x14ac:dyDescent="0.2">
      <c r="C34" s="200" t="s">
        <v>8</v>
      </c>
      <c r="D34" s="203" t="s">
        <v>180</v>
      </c>
      <c r="E34" s="215"/>
      <c r="F34" s="215"/>
      <c r="G34" s="215"/>
      <c r="H34" s="215"/>
      <c r="I34" s="215"/>
      <c r="J34" s="215"/>
      <c r="K34" s="215"/>
      <c r="L34" s="215"/>
      <c r="M34" s="215"/>
      <c r="N34" s="215"/>
      <c r="O34" s="215"/>
      <c r="P34" s="215"/>
      <c r="Q34" s="215"/>
      <c r="R34" s="215"/>
    </row>
    <row r="35" spans="3:18" x14ac:dyDescent="0.2">
      <c r="D35" s="11" t="s">
        <v>1310</v>
      </c>
      <c r="E35" s="7" t="s">
        <v>51</v>
      </c>
      <c r="G35" s="73">
        <f>Inputs!$K$95/MperB*(1+$F$9)*(1-$F$10)</f>
        <v>22.203882</v>
      </c>
      <c r="H35" s="14">
        <f>'Revenue Engine'!G71</f>
        <v>127.82748148511058</v>
      </c>
      <c r="I35" s="14">
        <f>'Revenue Engine'!H71</f>
        <v>194.85302775523087</v>
      </c>
      <c r="J35" s="14">
        <f>'Revenue Engine'!I71</f>
        <v>266.16307794901098</v>
      </c>
      <c r="K35" s="14">
        <f>'Revenue Engine'!J71</f>
        <v>338.68595742743315</v>
      </c>
      <c r="L35" s="14">
        <f>'Revenue Engine'!K71</f>
        <v>410.53137216965064</v>
      </c>
      <c r="M35" s="14">
        <f>'Revenue Engine'!L71</f>
        <v>480.62472019176096</v>
      </c>
      <c r="N35" s="14">
        <f>'Revenue Engine'!M71</f>
        <v>548.44468704092708</v>
      </c>
      <c r="O35" s="14">
        <f>'Revenue Engine'!N71</f>
        <v>613.83661232259612</v>
      </c>
      <c r="P35" s="14">
        <f>'Revenue Engine'!O71</f>
        <v>676.88118131336648</v>
      </c>
      <c r="Q35" s="14">
        <f>'Revenue Engine'!P71</f>
        <v>737.80325502079654</v>
      </c>
    </row>
    <row r="36" spans="3:18" x14ac:dyDescent="0.2">
      <c r="D36" s="204" t="s">
        <v>181</v>
      </c>
      <c r="E36" s="7" t="s">
        <v>54</v>
      </c>
      <c r="G36" s="205">
        <f t="shared" ref="G36:Q36" si="0">G35/G37-1</f>
        <v>0.30950000000000011</v>
      </c>
      <c r="H36" s="205">
        <f t="shared" si="0"/>
        <v>1.3054459028194483</v>
      </c>
      <c r="I36" s="205">
        <f t="shared" si="0"/>
        <v>0.5243437912678226</v>
      </c>
      <c r="J36" s="205">
        <f t="shared" si="0"/>
        <v>0.36596839687478644</v>
      </c>
      <c r="K36" s="205">
        <f t="shared" si="0"/>
        <v>0.27247535622621344</v>
      </c>
      <c r="L36" s="205">
        <f t="shared" si="0"/>
        <v>0.21212988955295287</v>
      </c>
      <c r="M36" s="205">
        <f t="shared" si="0"/>
        <v>0.17073810376943488</v>
      </c>
      <c r="N36" s="205">
        <f t="shared" si="0"/>
        <v>0.14110794555491668</v>
      </c>
      <c r="O36" s="205">
        <f t="shared" si="0"/>
        <v>0.11923157763544756</v>
      </c>
      <c r="P36" s="205">
        <f t="shared" si="0"/>
        <v>0.10270578151444298</v>
      </c>
      <c r="Q36" s="205">
        <f t="shared" si="0"/>
        <v>9.0004088441669738E-2</v>
      </c>
    </row>
    <row r="37" spans="3:18" x14ac:dyDescent="0.2">
      <c r="D37" s="63" t="s">
        <v>182</v>
      </c>
      <c r="E37" s="7" t="s">
        <v>51</v>
      </c>
      <c r="G37" s="73">
        <f>Inputs!$K$95/MperB</f>
        <v>16.956</v>
      </c>
      <c r="H37" s="73">
        <f>Historicals!$J$7/MperB+G35</f>
        <v>55.445881999999997</v>
      </c>
      <c r="I37" s="73">
        <f t="shared" ref="I37:Q37" si="1">H35</f>
        <v>127.82748148511058</v>
      </c>
      <c r="J37" s="73">
        <f t="shared" si="1"/>
        <v>194.85302775523087</v>
      </c>
      <c r="K37" s="73">
        <f t="shared" si="1"/>
        <v>266.16307794901098</v>
      </c>
      <c r="L37" s="73">
        <f t="shared" si="1"/>
        <v>338.68595742743315</v>
      </c>
      <c r="M37" s="73">
        <f t="shared" si="1"/>
        <v>410.53137216965064</v>
      </c>
      <c r="N37" s="73">
        <f t="shared" si="1"/>
        <v>480.62472019176096</v>
      </c>
      <c r="O37" s="73">
        <f t="shared" si="1"/>
        <v>548.44468704092708</v>
      </c>
      <c r="P37" s="73">
        <f t="shared" si="1"/>
        <v>613.83661232259612</v>
      </c>
      <c r="Q37" s="73">
        <f t="shared" si="1"/>
        <v>676.88118131336648</v>
      </c>
    </row>
    <row r="38" spans="3:18" x14ac:dyDescent="0.2">
      <c r="C38" s="200" t="s">
        <v>8</v>
      </c>
      <c r="D38" s="203" t="s">
        <v>183</v>
      </c>
      <c r="E38" s="215"/>
      <c r="F38" s="215"/>
      <c r="G38" s="215"/>
      <c r="H38" s="215"/>
      <c r="I38" s="215"/>
      <c r="J38" s="215"/>
      <c r="K38" s="215"/>
      <c r="L38" s="215"/>
      <c r="M38" s="215"/>
      <c r="N38" s="215"/>
      <c r="O38" s="215"/>
      <c r="P38" s="215"/>
      <c r="Q38" s="215"/>
      <c r="R38" s="215"/>
    </row>
    <row r="39" spans="3:18" x14ac:dyDescent="0.2">
      <c r="D39" s="204" t="s">
        <v>1311</v>
      </c>
      <c r="E39" s="7" t="s">
        <v>54</v>
      </c>
      <c r="G39" s="205">
        <f>Inputs!$K$138+($F$14-Inputs!$K$138)*MIN(1,'Compute Commitments'!M$11/Inputs!$K$137)</f>
        <v>0.5816820004718094</v>
      </c>
      <c r="H39" s="205">
        <f t="shared" ref="H39:Q39" si="2">H40/H35</f>
        <v>0.45086085307265356</v>
      </c>
      <c r="I39" s="205">
        <f t="shared" si="2"/>
        <v>0.48069694312282457</v>
      </c>
      <c r="J39" s="205">
        <f t="shared" si="2"/>
        <v>0.4828661438080622</v>
      </c>
      <c r="K39" s="205">
        <f t="shared" si="2"/>
        <v>0.48517159491759648</v>
      </c>
      <c r="L39" s="205">
        <f t="shared" si="2"/>
        <v>0.48758107024420894</v>
      </c>
      <c r="M39" s="205">
        <f t="shared" si="2"/>
        <v>0.49006293553962854</v>
      </c>
      <c r="N39" s="205">
        <f t="shared" si="2"/>
        <v>0.47698707857676542</v>
      </c>
      <c r="O39" s="205">
        <f t="shared" si="2"/>
        <v>0.46387501638807049</v>
      </c>
      <c r="P39" s="205">
        <f t="shared" si="2"/>
        <v>0.45073020461900265</v>
      </c>
      <c r="Q39" s="205">
        <f t="shared" si="2"/>
        <v>0.43755710324359226</v>
      </c>
    </row>
    <row r="40" spans="3:18" ht="25.5" x14ac:dyDescent="0.2">
      <c r="D40" s="36" t="s">
        <v>1312</v>
      </c>
      <c r="E40" s="7" t="s">
        <v>51</v>
      </c>
      <c r="G40" s="73">
        <f t="shared" ref="G40" si="3">G35*G39</f>
        <v>12.9155985</v>
      </c>
      <c r="H40" s="14">
        <f>'Revenue Engine'!G88</f>
        <v>57.632407348505787</v>
      </c>
      <c r="I40" s="14">
        <f>'Revenue Engine'!H88</f>
        <v>93.665254800166366</v>
      </c>
      <c r="J40" s="14">
        <f>'Revenue Engine'!I88</f>
        <v>128.52113907332361</v>
      </c>
      <c r="K40" s="14">
        <f>'Revenue Engine'!J88</f>
        <v>164.32080614126093</v>
      </c>
      <c r="L40" s="14">
        <f>'Revenue Engine'!K88</f>
        <v>200.16732581130191</v>
      </c>
      <c r="M40" s="14">
        <f>'Revenue Engine'!L88</f>
        <v>235.53636127008696</v>
      </c>
      <c r="N40" s="14">
        <f>'Revenue Engine'!M88</f>
        <v>261.6010290326002</v>
      </c>
      <c r="O40" s="14">
        <f>'Revenue Engine'!N88</f>
        <v>284.74346860074195</v>
      </c>
      <c r="P40" s="14">
        <f>'Revenue Engine'!O88</f>
        <v>305.09079335612591</v>
      </c>
      <c r="Q40" s="14">
        <f>'Revenue Engine'!P88</f>
        <v>322.83105503059312</v>
      </c>
    </row>
    <row r="41" spans="3:18" x14ac:dyDescent="0.2">
      <c r="D41" s="63" t="s">
        <v>184</v>
      </c>
      <c r="E41" s="7" t="s">
        <v>51</v>
      </c>
      <c r="G41" s="73">
        <f>('Compute Commitments'!M$37+$F$20*'Compute Commitments'!M$38+$F$21*'Compute Commitments'!M$39+$F$22*'Compute Commitments'!M$40+$F$23*'Compute Commitments'!M$41)*$F$27</f>
        <v>15.199067927551079</v>
      </c>
      <c r="H41" s="73">
        <f>('Compute Commitments'!N$37+$F$20*'Compute Commitments'!N$38+$F$21*'Compute Commitments'!N$39+$F$22*'Compute Commitments'!N$40+$F$23*'Compute Commitments'!N$41)*$F$27</f>
        <v>79.710756160917683</v>
      </c>
      <c r="I41" s="73">
        <f>('Compute Commitments'!O$37+$F$20*'Compute Commitments'!O$38+$F$21*'Compute Commitments'!O$39+$F$22*'Compute Commitments'!O$40+$F$23*'Compute Commitments'!O$41)*$F$27</f>
        <v>105.96184116050772</v>
      </c>
      <c r="J41" s="73">
        <f>('Compute Commitments'!P$37+$F$20*'Compute Commitments'!P$38+$F$21*'Compute Commitments'!P$39+$F$22*'Compute Commitments'!P$40+$F$23*'Compute Commitments'!P$41)*$F$27</f>
        <v>123.24482669897955</v>
      </c>
      <c r="K41" s="73">
        <f>('Compute Commitments'!Q$37+$F$20*'Compute Commitments'!Q$38+$F$21*'Compute Commitments'!Q$39+$F$22*'Compute Commitments'!Q$40+$F$23*'Compute Commitments'!Q$41)*$F$27</f>
        <v>133.38266871063979</v>
      </c>
      <c r="L41" s="73">
        <f>('Compute Commitments'!R$37+$F$20*'Compute Commitments'!R$38+$F$21*'Compute Commitments'!R$39+$F$22*'Compute Commitments'!R$40+$F$23*'Compute Commitments'!R$41)*$F$27</f>
        <v>129.70706732107197</v>
      </c>
      <c r="M41" s="73">
        <f>('Compute Commitments'!S$37+$F$20*'Compute Commitments'!S$38+$F$21*'Compute Commitments'!S$39+$F$22*'Compute Commitments'!S$40+$F$23*'Compute Commitments'!S$41)*$F$27</f>
        <v>108.52182089455961</v>
      </c>
      <c r="N41" s="73">
        <f>('Compute Commitments'!T$37+$F$20*'Compute Commitments'!T$38+$F$21*'Compute Commitments'!T$39+$F$22*'Compute Commitments'!T$40+$F$23*'Compute Commitments'!T$41)*$F$27</f>
        <v>74.565777826213051</v>
      </c>
      <c r="O41" s="73">
        <f>('Compute Commitments'!U$37+$F$20*'Compute Commitments'!U$38+$F$21*'Compute Commitments'!U$39+$F$22*'Compute Commitments'!U$40+$F$23*'Compute Commitments'!U$41)*$F$27</f>
        <v>55.490728837638159</v>
      </c>
      <c r="P41" s="73">
        <f>('Compute Commitments'!V$37+$F$20*'Compute Commitments'!V$38+$F$21*'Compute Commitments'!V$39+$F$22*'Compute Commitments'!V$40+$F$23*'Compute Commitments'!V$41)*$F$27</f>
        <v>30.490728837638187</v>
      </c>
      <c r="Q41" s="73">
        <f>('Compute Commitments'!W$37+$F$20*'Compute Commitments'!W$38+$F$21*'Compute Commitments'!W$39+$F$22*'Compute Commitments'!W$40+$F$23*'Compute Commitments'!W$41)*$F$27</f>
        <v>22.301839948748395</v>
      </c>
    </row>
    <row r="42" spans="3:18" ht="25.5" x14ac:dyDescent="0.2">
      <c r="D42" s="252" t="s">
        <v>1536</v>
      </c>
      <c r="E42" s="7" t="s">
        <v>51</v>
      </c>
      <c r="G42" s="206">
        <f t="shared" ref="G42" si="4">MAX(G40,G41)</f>
        <v>15.199067927551079</v>
      </c>
      <c r="H42" s="206">
        <f t="shared" ref="H42:Q42" si="5">MAX(H40,H41)-H173-H176</f>
        <v>79.710756160917683</v>
      </c>
      <c r="I42" s="206">
        <f t="shared" si="5"/>
        <v>105.96184116050772</v>
      </c>
      <c r="J42" s="206">
        <f t="shared" si="5"/>
        <v>128.52113907332361</v>
      </c>
      <c r="K42" s="206">
        <f t="shared" si="5"/>
        <v>164.32080614126093</v>
      </c>
      <c r="L42" s="206">
        <f t="shared" si="5"/>
        <v>200.16732581130191</v>
      </c>
      <c r="M42" s="206">
        <f t="shared" si="5"/>
        <v>235.53636127008696</v>
      </c>
      <c r="N42" s="206">
        <f t="shared" si="5"/>
        <v>261.6010290326002</v>
      </c>
      <c r="O42" s="206">
        <f t="shared" si="5"/>
        <v>284.74346860074195</v>
      </c>
      <c r="P42" s="206">
        <f t="shared" si="5"/>
        <v>305.09079335612591</v>
      </c>
      <c r="Q42" s="206">
        <f t="shared" si="5"/>
        <v>322.83105503059312</v>
      </c>
    </row>
    <row r="43" spans="3:18" x14ac:dyDescent="0.2">
      <c r="D43" s="63" t="s">
        <v>185</v>
      </c>
      <c r="E43" s="7" t="s">
        <v>51</v>
      </c>
      <c r="G43" s="73">
        <f t="shared" ref="G43" si="6">G42-G40</f>
        <v>2.2834694275510792</v>
      </c>
      <c r="H43" s="73">
        <f t="shared" ref="H43:Q43" si="7">H175</f>
        <v>22.078348812411896</v>
      </c>
      <c r="I43" s="73">
        <f t="shared" si="7"/>
        <v>12.296586360341351</v>
      </c>
      <c r="J43" s="73">
        <f t="shared" si="7"/>
        <v>0</v>
      </c>
      <c r="K43" s="73">
        <f t="shared" si="7"/>
        <v>0</v>
      </c>
      <c r="L43" s="73">
        <f t="shared" si="7"/>
        <v>0</v>
      </c>
      <c r="M43" s="73">
        <f t="shared" si="7"/>
        <v>0</v>
      </c>
      <c r="N43" s="73">
        <f t="shared" si="7"/>
        <v>0</v>
      </c>
      <c r="O43" s="73">
        <f t="shared" si="7"/>
        <v>0</v>
      </c>
      <c r="P43" s="73">
        <f t="shared" si="7"/>
        <v>0</v>
      </c>
      <c r="Q43" s="73">
        <f t="shared" si="7"/>
        <v>0</v>
      </c>
    </row>
    <row r="44" spans="3:18" x14ac:dyDescent="0.2">
      <c r="C44" s="200" t="s">
        <v>8</v>
      </c>
      <c r="D44" s="203" t="s">
        <v>1102</v>
      </c>
      <c r="E44" s="215"/>
      <c r="F44" s="215"/>
      <c r="G44" s="215"/>
      <c r="H44" s="215"/>
      <c r="I44" s="215"/>
      <c r="J44" s="215"/>
      <c r="K44" s="215"/>
      <c r="L44" s="215"/>
      <c r="M44" s="215"/>
      <c r="N44" s="215"/>
      <c r="O44" s="215"/>
      <c r="P44" s="215"/>
      <c r="Q44" s="215"/>
      <c r="R44" s="215"/>
    </row>
    <row r="45" spans="3:18" x14ac:dyDescent="0.2">
      <c r="D45" s="204" t="s">
        <v>186</v>
      </c>
      <c r="E45" s="7" t="s">
        <v>54</v>
      </c>
      <c r="G45" s="205">
        <f t="shared" ref="G45:Q45" si="8">G46/G35</f>
        <v>3.1948607478994272E-2</v>
      </c>
      <c r="H45" s="205">
        <f t="shared" si="8"/>
        <v>2.8600500958782249E-2</v>
      </c>
      <c r="I45" s="205">
        <f t="shared" si="8"/>
        <v>3.3515000452748051E-2</v>
      </c>
      <c r="J45" s="205">
        <f t="shared" si="8"/>
        <v>4.0543163639285437E-2</v>
      </c>
      <c r="K45" s="205">
        <f t="shared" si="8"/>
        <v>4.7572512975244563E-2</v>
      </c>
      <c r="L45" s="205">
        <f t="shared" si="8"/>
        <v>5.3016677854107123E-2</v>
      </c>
      <c r="M45" s="205">
        <f t="shared" si="8"/>
        <v>5.5000000000000007E-2</v>
      </c>
      <c r="N45" s="205">
        <f t="shared" si="8"/>
        <v>5.5000000000000007E-2</v>
      </c>
      <c r="O45" s="205">
        <f t="shared" si="8"/>
        <v>5.5E-2</v>
      </c>
      <c r="P45" s="205">
        <f t="shared" si="8"/>
        <v>5.5E-2</v>
      </c>
      <c r="Q45" s="205">
        <f t="shared" si="8"/>
        <v>5.5E-2</v>
      </c>
    </row>
    <row r="46" spans="3:18" x14ac:dyDescent="0.2">
      <c r="D46" s="63" t="s">
        <v>187</v>
      </c>
      <c r="E46" s="7" t="s">
        <v>51</v>
      </c>
      <c r="G46" s="73">
        <f t="shared" ref="G46:Q46" si="9">G142*G144+(1-G142)*G35*$F$15</f>
        <v>0.70938311052790626</v>
      </c>
      <c r="H46" s="73">
        <f t="shared" si="9"/>
        <v>3.6559300067736253</v>
      </c>
      <c r="I46" s="73">
        <f t="shared" si="9"/>
        <v>6.5304993134358904</v>
      </c>
      <c r="J46" s="73">
        <f t="shared" si="9"/>
        <v>10.791093224022637</v>
      </c>
      <c r="K46" s="73">
        <f t="shared" si="9"/>
        <v>16.112142104249692</v>
      </c>
      <c r="L46" s="73">
        <f t="shared" si="9"/>
        <v>21.765009507322926</v>
      </c>
      <c r="M46" s="73">
        <f t="shared" si="9"/>
        <v>26.434359610546856</v>
      </c>
      <c r="N46" s="73">
        <f t="shared" si="9"/>
        <v>30.164457787250992</v>
      </c>
      <c r="O46" s="73">
        <f t="shared" si="9"/>
        <v>33.761013677742788</v>
      </c>
      <c r="P46" s="73">
        <f t="shared" si="9"/>
        <v>37.228464972235159</v>
      </c>
      <c r="Q46" s="73">
        <f t="shared" si="9"/>
        <v>40.579179026143812</v>
      </c>
    </row>
    <row r="47" spans="3:18" x14ac:dyDescent="0.2">
      <c r="D47" s="204" t="s">
        <v>188</v>
      </c>
      <c r="E47" s="7" t="s">
        <v>54</v>
      </c>
      <c r="G47" s="205">
        <f t="shared" ref="G47:Q47" si="10">G48/G35</f>
        <v>5.3330748833890593E-2</v>
      </c>
      <c r="H47" s="205">
        <f t="shared" si="10"/>
        <v>4.7741865875034331E-2</v>
      </c>
      <c r="I47" s="205">
        <f t="shared" si="10"/>
        <v>4.9583542097410928E-2</v>
      </c>
      <c r="J47" s="205">
        <f t="shared" si="10"/>
        <v>5.4953486886170688E-2</v>
      </c>
      <c r="K47" s="205">
        <f t="shared" si="10"/>
        <v>6.03254116747452E-2</v>
      </c>
      <c r="L47" s="205">
        <f t="shared" si="10"/>
        <v>6.3051240723704549E-2</v>
      </c>
      <c r="M47" s="205">
        <f t="shared" si="10"/>
        <v>0.06</v>
      </c>
      <c r="N47" s="205">
        <f t="shared" si="10"/>
        <v>0.06</v>
      </c>
      <c r="O47" s="205">
        <f t="shared" si="10"/>
        <v>5.9999999999999991E-2</v>
      </c>
      <c r="P47" s="205">
        <f t="shared" si="10"/>
        <v>5.9999999999999991E-2</v>
      </c>
      <c r="Q47" s="205">
        <f t="shared" si="10"/>
        <v>0.06</v>
      </c>
    </row>
    <row r="48" spans="3:18" x14ac:dyDescent="0.2">
      <c r="D48" s="63" t="s">
        <v>189</v>
      </c>
      <c r="E48" s="7" t="s">
        <v>51</v>
      </c>
      <c r="G48" s="73">
        <f t="shared" ref="G48:Q48" si="11">G142*G145+(1-G142)*G35*$F$16</f>
        <v>1.1841496540793444</v>
      </c>
      <c r="H48" s="73">
        <f t="shared" si="11"/>
        <v>6.1027224762055834</v>
      </c>
      <c r="I48" s="73">
        <f t="shared" si="11"/>
        <v>9.6615033045094698</v>
      </c>
      <c r="J48" s="73">
        <f t="shared" si="11"/>
        <v>14.626589213653801</v>
      </c>
      <c r="K48" s="73">
        <f t="shared" si="11"/>
        <v>20.431369810265132</v>
      </c>
      <c r="L48" s="73">
        <f t="shared" si="11"/>
        <v>25.884512371301387</v>
      </c>
      <c r="M48" s="73">
        <f t="shared" si="11"/>
        <v>28.837483211505656</v>
      </c>
      <c r="N48" s="73">
        <f t="shared" si="11"/>
        <v>32.906681222455624</v>
      </c>
      <c r="O48" s="73">
        <f t="shared" si="11"/>
        <v>36.830196739355763</v>
      </c>
      <c r="P48" s="73">
        <f t="shared" si="11"/>
        <v>40.612870878801985</v>
      </c>
      <c r="Q48" s="73">
        <f t="shared" si="11"/>
        <v>44.268195301247793</v>
      </c>
    </row>
    <row r="49" spans="3:18" ht="25.5" x14ac:dyDescent="0.2">
      <c r="D49" s="172" t="s">
        <v>1423</v>
      </c>
      <c r="E49" s="7" t="s">
        <v>54</v>
      </c>
      <c r="G49" s="205">
        <f t="shared" ref="G49:Q49" si="12">G50/G35</f>
        <v>0.13924274593064401</v>
      </c>
      <c r="H49" s="205">
        <f t="shared" si="12"/>
        <v>0.14218824794393117</v>
      </c>
      <c r="I49" s="205">
        <f t="shared" si="12"/>
        <v>0.14291060971636302</v>
      </c>
      <c r="J49" s="205">
        <f t="shared" si="12"/>
        <v>0.13978927249339398</v>
      </c>
      <c r="K49" s="205">
        <f t="shared" si="12"/>
        <v>0.13500017675397952</v>
      </c>
      <c r="L49" s="205">
        <f t="shared" si="12"/>
        <v>0.12937037896905845</v>
      </c>
      <c r="M49" s="205">
        <f t="shared" si="12"/>
        <v>0.12327024355864306</v>
      </c>
      <c r="N49" s="205">
        <f t="shared" si="12"/>
        <v>0.12376927586188852</v>
      </c>
      <c r="O49" s="205">
        <f t="shared" si="12"/>
        <v>0.12413299734041854</v>
      </c>
      <c r="P49" s="205">
        <f t="shared" si="12"/>
        <v>0.12440465782352801</v>
      </c>
      <c r="Q49" s="205">
        <f t="shared" si="12"/>
        <v>0.12461141972800993</v>
      </c>
    </row>
    <row r="50" spans="3:18" x14ac:dyDescent="0.2">
      <c r="D50" s="63" t="s">
        <v>1424</v>
      </c>
      <c r="E50" s="7" t="s">
        <v>51</v>
      </c>
      <c r="G50" s="73">
        <f t="shared" ref="G50:Q50" si="13">G35*G153+G154</f>
        <v>3.0917294999999996</v>
      </c>
      <c r="H50" s="73">
        <f t="shared" si="13"/>
        <v>18.175565631453175</v>
      </c>
      <c r="I50" s="73">
        <f t="shared" si="13"/>
        <v>27.846565001579449</v>
      </c>
      <c r="J50" s="73">
        <f t="shared" si="13"/>
        <v>37.20674303109476</v>
      </c>
      <c r="K50" s="73">
        <f t="shared" si="13"/>
        <v>45.722664116794256</v>
      </c>
      <c r="L50" s="73">
        <f t="shared" si="13"/>
        <v>53.110599196275274</v>
      </c>
      <c r="M50" s="73">
        <f t="shared" si="13"/>
        <v>59.246726318343043</v>
      </c>
      <c r="N50" s="73">
        <f t="shared" si="13"/>
        <v>67.880601765355621</v>
      </c>
      <c r="O50" s="73">
        <f t="shared" si="13"/>
        <v>76.197378564892347</v>
      </c>
      <c r="P50" s="73">
        <f t="shared" si="13"/>
        <v>84.207171748474778</v>
      </c>
      <c r="Q50" s="73">
        <f t="shared" si="13"/>
        <v>91.938711088088425</v>
      </c>
    </row>
    <row r="51" spans="3:18" x14ac:dyDescent="0.2">
      <c r="D51" s="204" t="s">
        <v>190</v>
      </c>
      <c r="E51" s="7" t="s">
        <v>54</v>
      </c>
      <c r="G51" s="205">
        <f t="shared" ref="G51:Q51" si="14">G52/G35</f>
        <v>8.0366793779804879E-2</v>
      </c>
      <c r="H51" s="205">
        <f t="shared" si="14"/>
        <v>7.2621508256157916E-2</v>
      </c>
      <c r="I51" s="205">
        <f t="shared" si="14"/>
        <v>6.7438033751062457E-2</v>
      </c>
      <c r="J51" s="205">
        <f t="shared" si="14"/>
        <v>6.6067554675636506E-2</v>
      </c>
      <c r="K51" s="205">
        <f t="shared" si="14"/>
        <v>6.4699215383535541E-2</v>
      </c>
      <c r="L51" s="205">
        <f t="shared" si="14"/>
        <v>6.0471243733015941E-2</v>
      </c>
      <c r="M51" s="205">
        <f t="shared" si="14"/>
        <v>0.05</v>
      </c>
      <c r="N51" s="205">
        <f t="shared" si="14"/>
        <v>5.000000000000001E-2</v>
      </c>
      <c r="O51" s="205">
        <f t="shared" si="14"/>
        <v>0.05</v>
      </c>
      <c r="P51" s="205">
        <f t="shared" si="14"/>
        <v>0.05</v>
      </c>
      <c r="Q51" s="205">
        <f t="shared" si="14"/>
        <v>0.05</v>
      </c>
    </row>
    <row r="52" spans="3:18" ht="25.5" x14ac:dyDescent="0.2">
      <c r="D52" s="36" t="s">
        <v>1817</v>
      </c>
      <c r="E52" s="7" t="s">
        <v>51</v>
      </c>
      <c r="G52" s="73">
        <f>G35*G147*(1-Inputs!$K$149)+G142*G146+(1-G142)*Inputs!$K$149*G35*($F$18-Inputs!$K$62)</f>
        <v>1.7844548058051215</v>
      </c>
      <c r="H52" s="73">
        <f>H35*H147*(1-Inputs!$K$149)+H142*H146+(1-H142)*Inputs!$K$149*H35*($F$18-Inputs!$K$62)+H35*H177</f>
        <v>9.2830245020348308</v>
      </c>
      <c r="I52" s="73">
        <f>I35*I147*(1-Inputs!$K$149)+I142*I146+(1-I142)*Inputs!$K$149*I35*($F$18-Inputs!$K$62)+I35*I177</f>
        <v>13.14050506225397</v>
      </c>
      <c r="J52" s="73">
        <f>J35*J147*(1-Inputs!$K$149)+J142*J146+(1-J142)*Inputs!$K$149*J35*($F$18-Inputs!$K$62)+J35*J177</f>
        <v>17.584743705031983</v>
      </c>
      <c r="K52" s="73">
        <f>K35*K147*(1-Inputs!$K$149)+K142*K146+(1-K142)*Inputs!$K$149*K35*($F$18-Inputs!$K$62)+K35*K177</f>
        <v>21.912715706976446</v>
      </c>
      <c r="L52" s="73">
        <f>L35*L147*(1-Inputs!$K$149)+L142*L146+(1-L142)*Inputs!$K$149*L35*($F$18-Inputs!$K$62)+L35*L177</f>
        <v>24.82534266652042</v>
      </c>
      <c r="M52" s="73">
        <f>M35*M147*(1-Inputs!$K$149)+M142*M146+(1-M142)*Inputs!$K$149*M35*($F$18-Inputs!$K$62)+M35*M177</f>
        <v>24.031236009588049</v>
      </c>
      <c r="N52" s="73">
        <f>N35*N147*(1-Inputs!$K$149)+N142*N146+(1-N142)*Inputs!$K$149*N35*($F$18-Inputs!$K$62)+N35*N177</f>
        <v>27.42223435204636</v>
      </c>
      <c r="O52" s="73">
        <f>O35*O147*(1-Inputs!$K$149)+O142*O146+(1-O142)*Inputs!$K$149*O35*($F$18-Inputs!$K$62)+O35*O177</f>
        <v>30.69183061612981</v>
      </c>
      <c r="P52" s="73">
        <f>P35*P147*(1-Inputs!$K$149)+P142*P146+(1-P142)*Inputs!$K$149*P35*($F$18-Inputs!$K$62)+P35*P177</f>
        <v>33.844059065668326</v>
      </c>
      <c r="Q52" s="73">
        <f>Q35*Q147*(1-Inputs!$K$149)+Q142*Q146+(1-Q142)*Inputs!$K$149*Q35*($F$18-Inputs!$K$62)+Q35*Q177</f>
        <v>36.890162751039831</v>
      </c>
    </row>
    <row r="53" spans="3:18" x14ac:dyDescent="0.2">
      <c r="D53" s="204" t="s">
        <v>191</v>
      </c>
      <c r="E53" s="7" t="s">
        <v>54</v>
      </c>
      <c r="G53" s="205">
        <f>Inputs!$K$151+(Inputs!$K$152-Inputs!$K$151)*MIN(1,'Compute Commitments'!M$11/Inputs!$K$137)</f>
        <v>5.0839299681126283E-3</v>
      </c>
      <c r="H53" s="205">
        <f>Inputs!$K$151+(Inputs!$K$152-Inputs!$K$151)*MIN(1,'Compute Commitments'!N$11/Inputs!$K$137)</f>
        <v>6.7366083067605231E-3</v>
      </c>
      <c r="I53" s="205">
        <f>Inputs!$K$151+(Inputs!$K$152-Inputs!$K$151)*MIN(1,'Compute Commitments'!O$11/Inputs!$K$137)</f>
        <v>8.3892866454084187E-3</v>
      </c>
      <c r="J53" s="205">
        <f>Inputs!$K$151+(Inputs!$K$152-Inputs!$K$151)*MIN(1,'Compute Commitments'!P$11/Inputs!$K$137)</f>
        <v>1.0041964984056313E-2</v>
      </c>
      <c r="K53" s="205">
        <f>Inputs!$K$151+(Inputs!$K$152-Inputs!$K$151)*MIN(1,'Compute Commitments'!Q$11/Inputs!$K$137)</f>
        <v>1.1694643322704208E-2</v>
      </c>
      <c r="L53" s="205">
        <f>Inputs!$K$151+(Inputs!$K$152-Inputs!$K$151)*MIN(1,'Compute Commitments'!R$11/Inputs!$K$137)</f>
        <v>1.3347321661352104E-2</v>
      </c>
      <c r="M53" s="205">
        <f>Inputs!$K$151+(Inputs!$K$152-Inputs!$K$151)*MIN(1,'Compute Commitments'!S$11/Inputs!$K$137)</f>
        <v>1.4999999999999999E-2</v>
      </c>
      <c r="N53" s="205">
        <f>Inputs!$K$151+(Inputs!$K$152-Inputs!$K$151)*MIN(1,'Compute Commitments'!T$11/Inputs!$K$137)</f>
        <v>1.4999999999999999E-2</v>
      </c>
      <c r="O53" s="205">
        <f>Inputs!$K$151+(Inputs!$K$152-Inputs!$K$151)*MIN(1,'Compute Commitments'!U$11/Inputs!$K$137)</f>
        <v>1.4999999999999999E-2</v>
      </c>
      <c r="P53" s="205">
        <f>Inputs!$K$151+(Inputs!$K$152-Inputs!$K$151)*MIN(1,'Compute Commitments'!V$11/Inputs!$K$137)</f>
        <v>1.4999999999999999E-2</v>
      </c>
      <c r="Q53" s="205">
        <f>Inputs!$K$151+(Inputs!$K$152-Inputs!$K$151)*MIN(1,'Compute Commitments'!W$11/Inputs!$K$137)</f>
        <v>1.4999999999999999E-2</v>
      </c>
    </row>
    <row r="54" spans="3:18" x14ac:dyDescent="0.2">
      <c r="D54" s="63" t="s">
        <v>192</v>
      </c>
      <c r="E54" s="7" t="s">
        <v>51</v>
      </c>
      <c r="G54" s="73">
        <f t="shared" ref="G54:Q54" si="15">G35*G53</f>
        <v>0.11288298110823657</v>
      </c>
      <c r="H54" s="73">
        <f t="shared" si="15"/>
        <v>0.86112367360487285</v>
      </c>
      <c r="I54" s="73">
        <f t="shared" si="15"/>
        <v>1.6346779035643544</v>
      </c>
      <c r="J54" s="73">
        <f t="shared" si="15"/>
        <v>2.6728003088126191</v>
      </c>
      <c r="K54" s="73">
        <f t="shared" si="15"/>
        <v>3.9608114705224127</v>
      </c>
      <c r="L54" s="73">
        <f t="shared" si="15"/>
        <v>5.47949427642458</v>
      </c>
      <c r="M54" s="73">
        <f t="shared" si="15"/>
        <v>7.2093708028764141</v>
      </c>
      <c r="N54" s="73">
        <f t="shared" si="15"/>
        <v>8.2266703056139061</v>
      </c>
      <c r="O54" s="73">
        <f t="shared" si="15"/>
        <v>9.2075491848389408</v>
      </c>
      <c r="P54" s="73">
        <f t="shared" si="15"/>
        <v>10.153217719700496</v>
      </c>
      <c r="Q54" s="73">
        <f t="shared" si="15"/>
        <v>11.067048825311948</v>
      </c>
    </row>
    <row r="55" spans="3:18" x14ac:dyDescent="0.2">
      <c r="D55" s="63" t="s">
        <v>852</v>
      </c>
      <c r="E55" s="7" t="s">
        <v>51</v>
      </c>
      <c r="G55" s="73">
        <f>$F$31*('Compute Commitments'!M$44+'Compute Commitments'!M$45)*('Compute Commitments'!M$11&gt;=1)</f>
        <v>0</v>
      </c>
      <c r="H55" s="73">
        <f>$F$31*('Compute Commitments'!N$44+'Compute Commitments'!N$45)*('Compute Commitments'!N$11&gt;=1)</f>
        <v>0</v>
      </c>
      <c r="I55" s="73">
        <f>$F$31*('Compute Commitments'!O$44+'Compute Commitments'!O$45)*('Compute Commitments'!O$11&gt;=1)</f>
        <v>0</v>
      </c>
      <c r="J55" s="73">
        <f>$F$31*('Compute Commitments'!P$44+'Compute Commitments'!P$45)*('Compute Commitments'!P$11&gt;=1)</f>
        <v>0</v>
      </c>
      <c r="K55" s="73">
        <f>$F$31*('Compute Commitments'!Q$44+'Compute Commitments'!Q$45)*('Compute Commitments'!Q$11&gt;=1)</f>
        <v>0</v>
      </c>
      <c r="L55" s="73">
        <f>$F$31*('Compute Commitments'!R$44+'Compute Commitments'!R$45)*('Compute Commitments'!R$11&gt;=1)</f>
        <v>0</v>
      </c>
      <c r="M55" s="73">
        <f>$F$31*('Compute Commitments'!S$44+'Compute Commitments'!S$45)*('Compute Commitments'!S$11&gt;=1)</f>
        <v>0</v>
      </c>
      <c r="N55" s="73">
        <f>$F$31*('Compute Commitments'!T$44+'Compute Commitments'!T$45)*('Compute Commitments'!T$11&gt;=1)</f>
        <v>0</v>
      </c>
      <c r="O55" s="73">
        <f>$F$31*('Compute Commitments'!U$44+'Compute Commitments'!U$45)*('Compute Commitments'!U$11&gt;=1)</f>
        <v>0</v>
      </c>
      <c r="P55" s="73">
        <f>$F$31*('Compute Commitments'!V$44+'Compute Commitments'!V$45)*('Compute Commitments'!V$11&gt;=1)</f>
        <v>0</v>
      </c>
      <c r="Q55" s="73">
        <f>$F$31*('Compute Commitments'!W$44+'Compute Commitments'!W$45)*('Compute Commitments'!W$11&gt;=1)</f>
        <v>0</v>
      </c>
    </row>
    <row r="56" spans="3:18" x14ac:dyDescent="0.2">
      <c r="D56" s="63" t="s">
        <v>853</v>
      </c>
      <c r="E56" s="7" t="s">
        <v>51</v>
      </c>
      <c r="G56" s="73">
        <f>$F$31*'Compute Commitments'!M$44*('Compute Commitments'!M$11&gt;=1)</f>
        <v>0</v>
      </c>
      <c r="H56" s="73">
        <f>$F$31*'Compute Commitments'!N$44*('Compute Commitments'!N$11&gt;=1)</f>
        <v>0</v>
      </c>
      <c r="I56" s="73">
        <f>$F$31*'Compute Commitments'!O$44*('Compute Commitments'!O$11&gt;=1)</f>
        <v>0</v>
      </c>
      <c r="J56" s="73">
        <f>$F$31*'Compute Commitments'!P$44*('Compute Commitments'!P$11&gt;=1)</f>
        <v>0</v>
      </c>
      <c r="K56" s="73">
        <f>$F$31*'Compute Commitments'!Q$44*('Compute Commitments'!Q$11&gt;=1)</f>
        <v>0</v>
      </c>
      <c r="L56" s="73">
        <f>$F$31*'Compute Commitments'!R$44*('Compute Commitments'!R$11&gt;=1)</f>
        <v>0</v>
      </c>
      <c r="M56" s="73">
        <f>$F$31*'Compute Commitments'!S$44*('Compute Commitments'!S$11&gt;=1)</f>
        <v>0</v>
      </c>
      <c r="N56" s="73">
        <f>$F$31*'Compute Commitments'!T$44*('Compute Commitments'!T$11&gt;=1)</f>
        <v>0</v>
      </c>
      <c r="O56" s="73">
        <f>$F$31*'Compute Commitments'!U$44*('Compute Commitments'!U$11&gt;=1)</f>
        <v>0</v>
      </c>
      <c r="P56" s="73">
        <f>$F$31*'Compute Commitments'!V$44*('Compute Commitments'!V$11&gt;=1)</f>
        <v>0</v>
      </c>
      <c r="Q56" s="73">
        <f>$F$31*'Compute Commitments'!W$44*('Compute Commitments'!W$11&gt;=1)</f>
        <v>0</v>
      </c>
    </row>
    <row r="57" spans="3:18" x14ac:dyDescent="0.2">
      <c r="C57" s="200" t="s">
        <v>8</v>
      </c>
      <c r="D57" s="203" t="s">
        <v>193</v>
      </c>
      <c r="E57" s="215"/>
      <c r="F57" s="215"/>
      <c r="G57" s="215"/>
      <c r="H57" s="215"/>
      <c r="I57" s="215"/>
      <c r="J57" s="215"/>
      <c r="K57" s="215"/>
      <c r="L57" s="215"/>
      <c r="M57" s="215"/>
      <c r="N57" s="215"/>
      <c r="O57" s="215"/>
      <c r="P57" s="215"/>
      <c r="Q57" s="215"/>
      <c r="R57" s="215"/>
    </row>
    <row r="58" spans="3:18" x14ac:dyDescent="0.2">
      <c r="D58" s="11" t="s">
        <v>194</v>
      </c>
      <c r="E58" s="7" t="s">
        <v>51</v>
      </c>
      <c r="G58" s="206">
        <f t="shared" ref="G58:Q58" si="16">G35-G42-G46-G48-G50-G52-G54+G55-G56</f>
        <v>0.12221402092831359</v>
      </c>
      <c r="H58" s="206">
        <f t="shared" si="16"/>
        <v>10.038359034120813</v>
      </c>
      <c r="I58" s="206">
        <f t="shared" si="16"/>
        <v>30.077436009380012</v>
      </c>
      <c r="J58" s="206">
        <f t="shared" si="16"/>
        <v>54.759969393071579</v>
      </c>
      <c r="K58" s="206">
        <f t="shared" si="16"/>
        <v>66.225448077364291</v>
      </c>
      <c r="L58" s="206">
        <f t="shared" si="16"/>
        <v>79.299088340504156</v>
      </c>
      <c r="M58" s="206">
        <f t="shared" si="16"/>
        <v>99.329182968813996</v>
      </c>
      <c r="N58" s="206">
        <f t="shared" si="16"/>
        <v>120.24301257560441</v>
      </c>
      <c r="O58" s="206">
        <f t="shared" si="16"/>
        <v>142.40517493889456</v>
      </c>
      <c r="P58" s="206">
        <f t="shared" si="16"/>
        <v>165.74460357235986</v>
      </c>
      <c r="Q58" s="206">
        <f t="shared" si="16"/>
        <v>190.22890299837158</v>
      </c>
    </row>
    <row r="59" spans="3:18" x14ac:dyDescent="0.2">
      <c r="D59" s="204" t="s">
        <v>195</v>
      </c>
      <c r="E59" s="7" t="s">
        <v>54</v>
      </c>
      <c r="G59" s="205">
        <f t="shared" ref="G59:Q59" si="17">G58/G35</f>
        <v>5.5041735912807312E-3</v>
      </c>
      <c r="H59" s="205">
        <f t="shared" si="17"/>
        <v>7.8530523464080654E-2</v>
      </c>
      <c r="I59" s="205">
        <f t="shared" si="17"/>
        <v>0.15435960300890206</v>
      </c>
      <c r="J59" s="205">
        <f t="shared" si="17"/>
        <v>0.20573841351339489</v>
      </c>
      <c r="K59" s="205">
        <f t="shared" si="17"/>
        <v>0.1955364449721945</v>
      </c>
      <c r="L59" s="205">
        <f t="shared" si="17"/>
        <v>0.19316206681455295</v>
      </c>
      <c r="M59" s="205">
        <f t="shared" si="17"/>
        <v>0.20666682090172842</v>
      </c>
      <c r="N59" s="205">
        <f t="shared" si="17"/>
        <v>0.21924364556134612</v>
      </c>
      <c r="O59" s="205">
        <f t="shared" si="17"/>
        <v>0.23199198627151105</v>
      </c>
      <c r="P59" s="205">
        <f t="shared" si="17"/>
        <v>0.24486513755746939</v>
      </c>
      <c r="Q59" s="205">
        <f t="shared" si="17"/>
        <v>0.25783147702839776</v>
      </c>
    </row>
    <row r="60" spans="3:18" x14ac:dyDescent="0.2">
      <c r="D60" s="63" t="s">
        <v>196</v>
      </c>
      <c r="E60" s="7" t="s">
        <v>51</v>
      </c>
      <c r="G60" s="73">
        <f>$F$28*Inputs!$K$216*((IF($F$30=1,'Tax Schedule'!G$11,'Tax Schedule'!G$10)+'Tax Schedule'!G$12)*$F$29*'Tax Schedule'!G$9+'Tax Schedule'!G$13*MAX(0,$F$29*'Tax Schedule'!G$9-'Dilution Calcs'!$I$122))/MperB</f>
        <v>22.714948355843386</v>
      </c>
      <c r="H60" s="73">
        <f>$F$28*Inputs!$K$216*((IF($F$30=1,'Tax Schedule'!H$11,'Tax Schedule'!H$10)+'Tax Schedule'!H$12)*$F$29*'Tax Schedule'!H$9+'Tax Schedule'!H$13*MAX(0,$F$29*'Tax Schedule'!H$9-'Dilution Calcs'!$I$122))/MperB</f>
        <v>50.029090755069291</v>
      </c>
      <c r="I60" s="73">
        <f>$F$28*Inputs!$K$216*((IF($F$30=1,'Tax Schedule'!I$11,'Tax Schedule'!I$10)+'Tax Schedule'!I$12)*$F$29*'Tax Schedule'!I$9+'Tax Schedule'!I$13*MAX(0,$F$29*'Tax Schedule'!I$9-'Dilution Calcs'!$I$122))/MperB</f>
        <v>42.607473913216893</v>
      </c>
      <c r="J60" s="73">
        <f>$F$28*Inputs!$K$216*((IF($F$30=1,'Tax Schedule'!J$11,'Tax Schedule'!J$10)+'Tax Schedule'!J$12)*$F$29*'Tax Schedule'!J$9+'Tax Schedule'!J$13*MAX(0,$F$29*'Tax Schedule'!J$9-'Dilution Calcs'!$I$122))/MperB</f>
        <v>35.732460987460541</v>
      </c>
      <c r="K60" s="73">
        <f>$F$28*Inputs!$K$216*((IF($F$30=1,'Tax Schedule'!K$11,'Tax Schedule'!K$10)+'Tax Schedule'!K$12)*$F$29*'Tax Schedule'!K$9+'Tax Schedule'!K$13*MAX(0,$F$29*'Tax Schedule'!K$9-'Dilution Calcs'!$I$122))/MperB</f>
        <v>31.843299399824602</v>
      </c>
      <c r="L60" s="73">
        <f>$F$28*Inputs!$K$216*((IF($F$30=1,'Tax Schedule'!L$11,'Tax Schedule'!L$10)+'Tax Schedule'!L$12)*$F$29*'Tax Schedule'!L$9+'Tax Schedule'!L$13*MAX(0,$F$29*'Tax Schedule'!L$9-'Dilution Calcs'!$I$122))/MperB</f>
        <v>32.781315257417809</v>
      </c>
      <c r="M60" s="73">
        <f>$F$28*Inputs!$K$216*((IF($F$30=1,'Tax Schedule'!M$11,'Tax Schedule'!M$10)+'Tax Schedule'!M$12)*$F$29*'Tax Schedule'!M$9+'Tax Schedule'!M$13*MAX(0,$F$29*'Tax Schedule'!M$9-'Dilution Calcs'!$I$122))/MperB</f>
        <v>0</v>
      </c>
      <c r="N60" s="73">
        <f>$F$28*Inputs!$K$216*((IF($F$30=1,'Tax Schedule'!N$11,'Tax Schedule'!N$10)+'Tax Schedule'!N$12)*$F$29*'Tax Schedule'!N$9+'Tax Schedule'!N$13*MAX(0,$F$29*'Tax Schedule'!N$9-'Dilution Calcs'!$I$122))/MperB</f>
        <v>0</v>
      </c>
      <c r="O60" s="73">
        <f>$F$28*Inputs!$K$216*((IF($F$30=1,'Tax Schedule'!O$11,'Tax Schedule'!O$10)+'Tax Schedule'!O$12)*$F$29*'Tax Schedule'!O$9+'Tax Schedule'!O$13*MAX(0,$F$29*'Tax Schedule'!O$9-'Dilution Calcs'!$I$122))/MperB</f>
        <v>0</v>
      </c>
      <c r="P60" s="73">
        <f>$F$28*Inputs!$K$216*((IF($F$30=1,'Tax Schedule'!P$11,'Tax Schedule'!P$10)+'Tax Schedule'!P$12)*$F$29*'Tax Schedule'!P$9+'Tax Schedule'!P$13*MAX(0,$F$29*'Tax Schedule'!P$9-'Dilution Calcs'!$I$122))/MperB</f>
        <v>0</v>
      </c>
      <c r="Q60" s="73">
        <f>$F$28*Inputs!$K$216*((IF($F$30=1,'Tax Schedule'!Q$11,'Tax Schedule'!Q$10)+'Tax Schedule'!Q$12)*$F$29*'Tax Schedule'!Q$9+'Tax Schedule'!Q$13*MAX(0,$F$29*'Tax Schedule'!Q$9-'Dilution Calcs'!$I$122))/MperB</f>
        <v>0</v>
      </c>
    </row>
    <row r="61" spans="3:18" x14ac:dyDescent="0.2">
      <c r="D61" s="63" t="s">
        <v>854</v>
      </c>
      <c r="E61" s="7" t="s">
        <v>51</v>
      </c>
      <c r="G61" s="73">
        <f>$F$31*'Compute Commitments'!M$45*('Compute Commitments'!M$11&gt;=1)</f>
        <v>0</v>
      </c>
      <c r="H61" s="73">
        <f>$F$31*'Compute Commitments'!N$45*('Compute Commitments'!N$11&gt;=1)</f>
        <v>0</v>
      </c>
      <c r="I61" s="73">
        <f>$F$31*'Compute Commitments'!O$45*('Compute Commitments'!O$11&gt;=1)</f>
        <v>0</v>
      </c>
      <c r="J61" s="73">
        <f>$F$31*'Compute Commitments'!P$45*('Compute Commitments'!P$11&gt;=1)</f>
        <v>0</v>
      </c>
      <c r="K61" s="73">
        <f>$F$31*'Compute Commitments'!Q$45*('Compute Commitments'!Q$11&gt;=1)</f>
        <v>0</v>
      </c>
      <c r="L61" s="73">
        <f>$F$31*'Compute Commitments'!R$45*('Compute Commitments'!R$11&gt;=1)</f>
        <v>0</v>
      </c>
      <c r="M61" s="73">
        <f>$F$31*'Compute Commitments'!S$45*('Compute Commitments'!S$11&gt;=1)</f>
        <v>0</v>
      </c>
      <c r="N61" s="73">
        <f>$F$31*'Compute Commitments'!T$45*('Compute Commitments'!T$11&gt;=1)</f>
        <v>0</v>
      </c>
      <c r="O61" s="73">
        <f>$F$31*'Compute Commitments'!U$45*('Compute Commitments'!U$11&gt;=1)</f>
        <v>0</v>
      </c>
      <c r="P61" s="73">
        <f>$F$31*'Compute Commitments'!V$45*('Compute Commitments'!V$11&gt;=1)</f>
        <v>0</v>
      </c>
      <c r="Q61" s="73">
        <f>$F$31*'Compute Commitments'!W$45*('Compute Commitments'!W$11&gt;=1)</f>
        <v>0</v>
      </c>
    </row>
    <row r="62" spans="3:18" x14ac:dyDescent="0.2">
      <c r="D62" s="63" t="s">
        <v>197</v>
      </c>
      <c r="E62" s="7" t="s">
        <v>51</v>
      </c>
      <c r="G62" s="73">
        <f t="shared" ref="G62:Q62" si="18">G58-G60-G61</f>
        <v>-22.592734334915072</v>
      </c>
      <c r="H62" s="73">
        <f t="shared" si="18"/>
        <v>-39.990731720948475</v>
      </c>
      <c r="I62" s="73">
        <f t="shared" si="18"/>
        <v>-12.530037903836881</v>
      </c>
      <c r="J62" s="73">
        <f t="shared" si="18"/>
        <v>19.027508405611037</v>
      </c>
      <c r="K62" s="73">
        <f t="shared" si="18"/>
        <v>34.382148677539689</v>
      </c>
      <c r="L62" s="73">
        <f t="shared" si="18"/>
        <v>46.517773083086347</v>
      </c>
      <c r="M62" s="73">
        <f t="shared" si="18"/>
        <v>99.329182968813996</v>
      </c>
      <c r="N62" s="73">
        <f t="shared" si="18"/>
        <v>120.24301257560441</v>
      </c>
      <c r="O62" s="73">
        <f t="shared" si="18"/>
        <v>142.40517493889456</v>
      </c>
      <c r="P62" s="73">
        <f t="shared" si="18"/>
        <v>165.74460357235986</v>
      </c>
      <c r="Q62" s="73">
        <f t="shared" si="18"/>
        <v>190.22890299837158</v>
      </c>
    </row>
    <row r="63" spans="3:18" x14ac:dyDescent="0.2">
      <c r="D63" s="63" t="s">
        <v>198</v>
      </c>
      <c r="E63" s="7" t="s">
        <v>51</v>
      </c>
      <c r="G63" s="14">
        <f>Inputs!$K$219</f>
        <v>7.5479999999999992</v>
      </c>
      <c r="H63" s="73">
        <f t="shared" ref="H63:Q63" si="19">G65</f>
        <v>30.14073433491507</v>
      </c>
      <c r="I63" s="73">
        <f t="shared" si="19"/>
        <v>70.131466055863541</v>
      </c>
      <c r="J63" s="73">
        <f t="shared" si="19"/>
        <v>82.661503959700426</v>
      </c>
      <c r="K63" s="73">
        <f t="shared" si="19"/>
        <v>67.43949723521159</v>
      </c>
      <c r="L63" s="73">
        <f t="shared" si="19"/>
        <v>39.933778293179842</v>
      </c>
      <c r="M63" s="73">
        <f t="shared" si="19"/>
        <v>2.7195598267107641</v>
      </c>
      <c r="N63" s="73">
        <f t="shared" si="19"/>
        <v>0</v>
      </c>
      <c r="O63" s="73">
        <f t="shared" si="19"/>
        <v>0</v>
      </c>
      <c r="P63" s="73">
        <f t="shared" si="19"/>
        <v>0</v>
      </c>
      <c r="Q63" s="73">
        <f t="shared" si="19"/>
        <v>0</v>
      </c>
    </row>
    <row r="64" spans="3:18" x14ac:dyDescent="0.2">
      <c r="D64" s="63" t="s">
        <v>199</v>
      </c>
      <c r="E64" s="7" t="s">
        <v>51</v>
      </c>
      <c r="G64" s="73">
        <f>MIN(G63,Inputs!$K$218*MAX(G62,0))</f>
        <v>0</v>
      </c>
      <c r="H64" s="73">
        <f>MIN(H63,Inputs!$K$218*MAX(H62,0))</f>
        <v>0</v>
      </c>
      <c r="I64" s="73">
        <f>MIN(I63,Inputs!$K$218*MAX(I62,0))</f>
        <v>0</v>
      </c>
      <c r="J64" s="73">
        <f>MIN(J63,Inputs!$K$218*MAX(J62,0))</f>
        <v>15.22200672448883</v>
      </c>
      <c r="K64" s="73">
        <f>MIN(K63,Inputs!$K$218*MAX(K62,0))</f>
        <v>27.505718942031752</v>
      </c>
      <c r="L64" s="73">
        <f>MIN(L63,Inputs!$K$218*MAX(L62,0))</f>
        <v>37.214218466469077</v>
      </c>
      <c r="M64" s="73">
        <f>MIN(M63,Inputs!$K$218*MAX(M62,0))</f>
        <v>2.7195598267107641</v>
      </c>
      <c r="N64" s="73">
        <f>MIN(N63,Inputs!$K$218*MAX(N62,0))</f>
        <v>0</v>
      </c>
      <c r="O64" s="73">
        <f>MIN(O63,Inputs!$K$218*MAX(O62,0))</f>
        <v>0</v>
      </c>
      <c r="P64" s="73">
        <f>MIN(P63,Inputs!$K$218*MAX(P62,0))</f>
        <v>0</v>
      </c>
      <c r="Q64" s="73">
        <f>MIN(Q63,Inputs!$K$218*MAX(Q62,0))</f>
        <v>0</v>
      </c>
    </row>
    <row r="65" spans="3:18" x14ac:dyDescent="0.2">
      <c r="D65" s="63" t="s">
        <v>200</v>
      </c>
      <c r="E65" s="7" t="s">
        <v>51</v>
      </c>
      <c r="G65" s="73">
        <f t="shared" ref="G65:Q65" si="20">G63-G64+MAX(0,-G62)</f>
        <v>30.14073433491507</v>
      </c>
      <c r="H65" s="73">
        <f t="shared" si="20"/>
        <v>70.131466055863541</v>
      </c>
      <c r="I65" s="73">
        <f t="shared" si="20"/>
        <v>82.661503959700426</v>
      </c>
      <c r="J65" s="73">
        <f t="shared" si="20"/>
        <v>67.43949723521159</v>
      </c>
      <c r="K65" s="73">
        <f t="shared" si="20"/>
        <v>39.933778293179842</v>
      </c>
      <c r="L65" s="73">
        <f t="shared" si="20"/>
        <v>2.7195598267107641</v>
      </c>
      <c r="M65" s="73">
        <f t="shared" si="20"/>
        <v>0</v>
      </c>
      <c r="N65" s="73">
        <f t="shared" si="20"/>
        <v>0</v>
      </c>
      <c r="O65" s="73">
        <f t="shared" si="20"/>
        <v>0</v>
      </c>
      <c r="P65" s="73">
        <f t="shared" si="20"/>
        <v>0</v>
      </c>
      <c r="Q65" s="73">
        <f t="shared" si="20"/>
        <v>0</v>
      </c>
    </row>
    <row r="66" spans="3:18" x14ac:dyDescent="0.2">
      <c r="D66" s="63" t="s">
        <v>201</v>
      </c>
      <c r="E66" s="7" t="s">
        <v>51</v>
      </c>
      <c r="G66" s="14">
        <f>Inputs!$K$211</f>
        <v>0.99900000000000011</v>
      </c>
      <c r="H66" s="73">
        <f t="shared" ref="H66:Q66" si="21">G66-G67</f>
        <v>0.99900000000000011</v>
      </c>
      <c r="I66" s="73">
        <f t="shared" si="21"/>
        <v>0.99900000000000011</v>
      </c>
      <c r="J66" s="73">
        <f t="shared" si="21"/>
        <v>0.99900000000000011</v>
      </c>
      <c r="K66" s="73">
        <f t="shared" si="21"/>
        <v>0.34255096000641938</v>
      </c>
      <c r="L66" s="73">
        <f t="shared" si="21"/>
        <v>0</v>
      </c>
      <c r="M66" s="73">
        <f t="shared" si="21"/>
        <v>0</v>
      </c>
      <c r="N66" s="73">
        <f t="shared" si="21"/>
        <v>0</v>
      </c>
      <c r="O66" s="73">
        <f t="shared" si="21"/>
        <v>0</v>
      </c>
      <c r="P66" s="73">
        <f t="shared" si="21"/>
        <v>0</v>
      </c>
      <c r="Q66" s="73">
        <f t="shared" si="21"/>
        <v>0</v>
      </c>
    </row>
    <row r="67" spans="3:18" x14ac:dyDescent="0.2">
      <c r="D67" s="63" t="s">
        <v>202</v>
      </c>
      <c r="E67" s="7" t="s">
        <v>51</v>
      </c>
      <c r="G67" s="73">
        <f>MIN(G66,Inputs!$K$212*(MAX(G62,0)-G64)*Inputs!$K$183)</f>
        <v>0</v>
      </c>
      <c r="H67" s="73">
        <f>MIN(H66,Inputs!$K$212*(MAX(H62,0)-H64)*Inputs!$K$183)</f>
        <v>0</v>
      </c>
      <c r="I67" s="73">
        <f>MIN(I66,Inputs!$K$212*(MAX(I62,0)-I64)*Inputs!$K$183)</f>
        <v>0</v>
      </c>
      <c r="J67" s="73">
        <f>MIN(J66,Inputs!$K$212*(MAX(J62,0)-J64)*Inputs!$K$183)</f>
        <v>0.65644903999358073</v>
      </c>
      <c r="K67" s="73">
        <f>MIN(K66,Inputs!$K$212*(MAX(K62,0)-K64)*Inputs!$K$183)</f>
        <v>0.34255096000641938</v>
      </c>
      <c r="L67" s="73">
        <f>MIN(L66,Inputs!$K$212*(MAX(L62,0)-L64)*Inputs!$K$183)</f>
        <v>0</v>
      </c>
      <c r="M67" s="73">
        <f>MIN(M66,Inputs!$K$212*(MAX(M62,0)-M64)*Inputs!$K$183)</f>
        <v>0</v>
      </c>
      <c r="N67" s="73">
        <f>MIN(N66,Inputs!$K$212*(MAX(N62,0)-N64)*Inputs!$K$183)</f>
        <v>0</v>
      </c>
      <c r="O67" s="73">
        <f>MIN(O66,Inputs!$K$212*(MAX(O62,0)-O64)*Inputs!$K$183)</f>
        <v>0</v>
      </c>
      <c r="P67" s="73">
        <f>MIN(P66,Inputs!$K$212*(MAX(P62,0)-P64)*Inputs!$K$183)</f>
        <v>0</v>
      </c>
      <c r="Q67" s="73">
        <f>MIN(Q66,Inputs!$K$212*(MAX(Q62,0)-Q64)*Inputs!$K$183)</f>
        <v>0</v>
      </c>
    </row>
    <row r="68" spans="3:18" x14ac:dyDescent="0.2">
      <c r="D68" s="63" t="s">
        <v>203</v>
      </c>
      <c r="E68" s="7" t="s">
        <v>51</v>
      </c>
      <c r="G68" s="73">
        <f>(MAX(G62,0)-G64)*Inputs!$K$183-G67</f>
        <v>0</v>
      </c>
      <c r="H68" s="73">
        <f>(MAX(H62,0)-H64)*Inputs!$K$183-H67</f>
        <v>0</v>
      </c>
      <c r="I68" s="73">
        <f>(MAX(I62,0)-I64)*Inputs!$K$183-I67</f>
        <v>0</v>
      </c>
      <c r="J68" s="73">
        <f>(MAX(J62,0)-J64)*Inputs!$K$183-J67</f>
        <v>0.21881634666452698</v>
      </c>
      <c r="K68" s="73">
        <f>(MAX(K62,0)-K64)*Inputs!$K$183-K67</f>
        <v>1.2390278791604061</v>
      </c>
      <c r="L68" s="73">
        <f>(MAX(L62,0)-L64)*Inputs!$K$183-L67</f>
        <v>2.1398175618219719</v>
      </c>
      <c r="M68" s="73">
        <f>(MAX(M62,0)-M64)*Inputs!$K$183-M67</f>
        <v>22.220213322683744</v>
      </c>
      <c r="N68" s="73">
        <f>(MAX(N62,0)-N64)*Inputs!$K$183-N67</f>
        <v>27.655892892389016</v>
      </c>
      <c r="O68" s="73">
        <f>(MAX(O62,0)-O64)*Inputs!$K$183-O67</f>
        <v>32.753190235945752</v>
      </c>
      <c r="P68" s="73">
        <f>(MAX(P62,0)-P64)*Inputs!$K$183-P67</f>
        <v>38.121258821642769</v>
      </c>
      <c r="Q68" s="73">
        <f>(MAX(Q62,0)-Q64)*Inputs!$K$183-Q67</f>
        <v>43.752647689625462</v>
      </c>
    </row>
    <row r="69" spans="3:18" x14ac:dyDescent="0.2">
      <c r="D69" s="63" t="s">
        <v>204</v>
      </c>
      <c r="E69" s="7" t="s">
        <v>51</v>
      </c>
      <c r="G69" s="73">
        <f t="shared" ref="G69:Q69" si="22">G58-G68</f>
        <v>0.12221402092831359</v>
      </c>
      <c r="H69" s="73">
        <f t="shared" si="22"/>
        <v>10.038359034120813</v>
      </c>
      <c r="I69" s="73">
        <f t="shared" si="22"/>
        <v>30.077436009380012</v>
      </c>
      <c r="J69" s="73">
        <f t="shared" si="22"/>
        <v>54.541153046407054</v>
      </c>
      <c r="K69" s="73">
        <f t="shared" si="22"/>
        <v>64.986420198203888</v>
      </c>
      <c r="L69" s="73">
        <f t="shared" si="22"/>
        <v>77.159270778682185</v>
      </c>
      <c r="M69" s="73">
        <f t="shared" si="22"/>
        <v>77.108969646130248</v>
      </c>
      <c r="N69" s="73">
        <f t="shared" si="22"/>
        <v>92.587119683215391</v>
      </c>
      <c r="O69" s="73">
        <f t="shared" si="22"/>
        <v>109.65198470294881</v>
      </c>
      <c r="P69" s="73">
        <f t="shared" si="22"/>
        <v>127.6233447507171</v>
      </c>
      <c r="Q69" s="73">
        <f t="shared" si="22"/>
        <v>146.47625530874612</v>
      </c>
    </row>
    <row r="70" spans="3:18" x14ac:dyDescent="0.2">
      <c r="C70" s="200" t="s">
        <v>8</v>
      </c>
      <c r="D70" s="203" t="s">
        <v>205</v>
      </c>
      <c r="E70" s="215"/>
      <c r="F70" s="215"/>
      <c r="G70" s="215"/>
      <c r="H70" s="215"/>
      <c r="I70" s="215"/>
      <c r="J70" s="215"/>
      <c r="K70" s="215"/>
      <c r="L70" s="215"/>
      <c r="M70" s="215"/>
      <c r="N70" s="215"/>
      <c r="O70" s="215"/>
      <c r="P70" s="215"/>
      <c r="Q70" s="215"/>
      <c r="R70" s="215"/>
    </row>
    <row r="71" spans="3:18" x14ac:dyDescent="0.2">
      <c r="D71" s="204" t="s">
        <v>206</v>
      </c>
      <c r="E71" s="7" t="s">
        <v>54</v>
      </c>
      <c r="G71" s="205">
        <f>Inputs!$K$153+(Inputs!$K$154-Inputs!$K$153)*MIN(1,'Compute Commitments'!M$11/Inputs!$K$137)</f>
        <v>2.7826243908308766E-2</v>
      </c>
      <c r="H71" s="205">
        <f>Inputs!$K$153+(Inputs!$K$154-Inputs!$K$153)*MIN(1,'Compute Commitments'!N$11/Inputs!$K$137)</f>
        <v>2.6521869923590638E-2</v>
      </c>
      <c r="I71" s="205">
        <f>Inputs!$K$153+(Inputs!$K$154-Inputs!$K$153)*MIN(1,'Compute Commitments'!O$11/Inputs!$K$137)</f>
        <v>2.521749593887251E-2</v>
      </c>
      <c r="J71" s="205">
        <f>Inputs!$K$153+(Inputs!$K$154-Inputs!$K$153)*MIN(1,'Compute Commitments'!P$11/Inputs!$K$137)</f>
        <v>2.3913121954154383E-2</v>
      </c>
      <c r="K71" s="205">
        <f>Inputs!$K$153+(Inputs!$K$154-Inputs!$K$153)*MIN(1,'Compute Commitments'!Q$11/Inputs!$K$137)</f>
        <v>2.2608747969436255E-2</v>
      </c>
      <c r="L71" s="205">
        <f>Inputs!$K$153+(Inputs!$K$154-Inputs!$K$153)*MIN(1,'Compute Commitments'!R$11/Inputs!$K$137)</f>
        <v>2.1304373984718128E-2</v>
      </c>
      <c r="M71" s="205">
        <f>Inputs!$K$153+(Inputs!$K$154-Inputs!$K$153)*MIN(1,'Compute Commitments'!S$11/Inputs!$K$137)</f>
        <v>0.02</v>
      </c>
      <c r="N71" s="205">
        <f>Inputs!$K$153+(Inputs!$K$154-Inputs!$K$153)*MIN(1,'Compute Commitments'!T$11/Inputs!$K$137)</f>
        <v>0.02</v>
      </c>
      <c r="O71" s="205">
        <f>Inputs!$K$153+(Inputs!$K$154-Inputs!$K$153)*MIN(1,'Compute Commitments'!U$11/Inputs!$K$137)</f>
        <v>0.02</v>
      </c>
      <c r="P71" s="205">
        <f>Inputs!$K$153+(Inputs!$K$154-Inputs!$K$153)*MIN(1,'Compute Commitments'!V$11/Inputs!$K$137)</f>
        <v>0.02</v>
      </c>
      <c r="Q71" s="205">
        <f>Inputs!$K$153+(Inputs!$K$154-Inputs!$K$153)*MIN(1,'Compute Commitments'!W$11/Inputs!$K$137)</f>
        <v>0.02</v>
      </c>
    </row>
    <row r="72" spans="3:18" x14ac:dyDescent="0.2">
      <c r="D72" s="63" t="s">
        <v>207</v>
      </c>
      <c r="E72" s="7" t="s">
        <v>51</v>
      </c>
      <c r="G72" s="73">
        <f t="shared" ref="G72:Q72" si="23">G35*G71</f>
        <v>0.61785063624330661</v>
      </c>
      <c r="H72" s="73">
        <f t="shared" si="23"/>
        <v>3.3902238366082935</v>
      </c>
      <c r="I72" s="73">
        <f t="shared" si="23"/>
        <v>4.9137054360945474</v>
      </c>
      <c r="J72" s="73">
        <f t="shared" si="23"/>
        <v>6.3647901426877986</v>
      </c>
      <c r="K72" s="73">
        <f t="shared" si="23"/>
        <v>7.6572654522640535</v>
      </c>
      <c r="L72" s="73">
        <f t="shared" si="23"/>
        <v>8.7461138851617406</v>
      </c>
      <c r="M72" s="73">
        <f t="shared" si="23"/>
        <v>9.6124944038352194</v>
      </c>
      <c r="N72" s="73">
        <f t="shared" si="23"/>
        <v>10.968893740818542</v>
      </c>
      <c r="O72" s="73">
        <f t="shared" si="23"/>
        <v>12.276732246451923</v>
      </c>
      <c r="P72" s="73">
        <f t="shared" si="23"/>
        <v>13.53762362626733</v>
      </c>
      <c r="Q72" s="73">
        <f t="shared" si="23"/>
        <v>14.756065100415931</v>
      </c>
    </row>
    <row r="73" spans="3:18" x14ac:dyDescent="0.2">
      <c r="D73" s="63" t="s">
        <v>208</v>
      </c>
      <c r="E73" s="7" t="s">
        <v>51</v>
      </c>
      <c r="G73" s="73">
        <f>Inputs!$K$155*(G35-G37)</f>
        <v>0.10495764000000002</v>
      </c>
      <c r="H73" s="73">
        <f>Inputs!$K$155*(H35-H37)</f>
        <v>1.4476319897022116</v>
      </c>
      <c r="I73" s="73">
        <f>Inputs!$K$155*(I35-I37)</f>
        <v>1.3405109254024057</v>
      </c>
      <c r="J73" s="73">
        <f>Inputs!$K$155*(J35-J37)</f>
        <v>1.4262010038756023</v>
      </c>
      <c r="K73" s="73">
        <f>Inputs!$K$155*(K35-K37)</f>
        <v>1.4504575895684435</v>
      </c>
      <c r="L73" s="73">
        <f>Inputs!$K$155*(L35-L37)</f>
        <v>1.4369082948443497</v>
      </c>
      <c r="M73" s="73">
        <f>Inputs!$K$155*(M35-M37)</f>
        <v>1.4018669604422065</v>
      </c>
      <c r="N73" s="73">
        <f>Inputs!$K$155*(N35-N37)</f>
        <v>1.3563993369833225</v>
      </c>
      <c r="O73" s="73">
        <f>Inputs!$K$155*(O35-O37)</f>
        <v>1.307838505633381</v>
      </c>
      <c r="P73" s="73">
        <f>Inputs!$K$155*(P35-P37)</f>
        <v>1.2608913798154071</v>
      </c>
      <c r="Q73" s="73">
        <f>Inputs!$K$155*(Q35-Q37)</f>
        <v>1.2184414741486012</v>
      </c>
    </row>
    <row r="74" spans="3:18" x14ac:dyDescent="0.2">
      <c r="D74" s="11" t="s">
        <v>895</v>
      </c>
      <c r="E74" s="7" t="s">
        <v>51</v>
      </c>
      <c r="G74" s="206">
        <f t="shared" ref="G74:Q74" si="24">G69+G54-G72-G73+G56</f>
        <v>-0.48771127420675647</v>
      </c>
      <c r="H74" s="206">
        <f t="shared" si="24"/>
        <v>6.0616268814151795</v>
      </c>
      <c r="I74" s="206">
        <f t="shared" si="24"/>
        <v>25.457897551447417</v>
      </c>
      <c r="J74" s="206">
        <f t="shared" si="24"/>
        <v>49.422962208656273</v>
      </c>
      <c r="K74" s="206">
        <f t="shared" si="24"/>
        <v>59.839508626893803</v>
      </c>
      <c r="L74" s="206">
        <f t="shared" si="24"/>
        <v>72.455742875100682</v>
      </c>
      <c r="M74" s="206">
        <f t="shared" si="24"/>
        <v>73.303979084729235</v>
      </c>
      <c r="N74" s="206">
        <f t="shared" si="24"/>
        <v>88.48849691102744</v>
      </c>
      <c r="O74" s="206">
        <f t="shared" si="24"/>
        <v>105.27496313570244</v>
      </c>
      <c r="P74" s="206">
        <f t="shared" si="24"/>
        <v>122.97804746433485</v>
      </c>
      <c r="Q74" s="206">
        <f t="shared" si="24"/>
        <v>141.56879755949356</v>
      </c>
    </row>
    <row r="75" spans="3:18" x14ac:dyDescent="0.2">
      <c r="D75" s="63" t="s">
        <v>209</v>
      </c>
      <c r="E75" s="7" t="s">
        <v>51</v>
      </c>
      <c r="G75" s="73">
        <f>Historicals!$H$71/MperB*(1+Inputs!$K$236*'Compute Commitments'!M$10)+G74+G48-Inputs!$K$237-G55</f>
        <v>133.3394383798726</v>
      </c>
      <c r="H75" s="73">
        <f>G75*(1+Inputs!$K$236*'Compute Commitments'!N$10)+H74+H48-H55</f>
        <v>150.55237112247059</v>
      </c>
      <c r="I75" s="73">
        <f>H75*(1+Inputs!$K$236*'Compute Commitments'!O$10)+I74+I48-I55</f>
        <v>191.37208246910495</v>
      </c>
      <c r="J75" s="73">
        <f>I75*(1+Inputs!$K$236*'Compute Commitments'!P$10)+J74+J48-J55</f>
        <v>262.66748648867525</v>
      </c>
      <c r="K75" s="73">
        <f>J75*(1+Inputs!$K$236*'Compute Commitments'!Q$10)+K74+K48-K55</f>
        <v>352.88364986308221</v>
      </c>
      <c r="L75" s="73">
        <f>K75*(1+Inputs!$K$236*'Compute Commitments'!R$10)+L74+L48-L55</f>
        <v>464.58501231959087</v>
      </c>
      <c r="M75" s="73">
        <f>L75*(1+Inputs!$K$236*'Compute Commitments'!S$10)+M74+M48-M55</f>
        <v>584.31689049431486</v>
      </c>
      <c r="N75" s="73">
        <f>M75*(1+Inputs!$K$236*'Compute Commitments'!T$10)+N74+N48-N55</f>
        <v>727.83584971428297</v>
      </c>
      <c r="O75" s="73">
        <f>N75*(1+Inputs!$K$236*'Compute Commitments'!U$10)+O74+O48-O55</f>
        <v>897.49879761144064</v>
      </c>
      <c r="P75" s="73">
        <f>O75*(1+Inputs!$K$236*'Compute Commitments'!V$10)+P74+P48-P55</f>
        <v>1095.0713913891886</v>
      </c>
      <c r="Q75" s="73">
        <f>P75*(1+Inputs!$K$236*'Compute Commitments'!W$10)+Q74+Q48-Q55</f>
        <v>1322.3706800200753</v>
      </c>
    </row>
    <row r="76" spans="3:18" x14ac:dyDescent="0.2">
      <c r="D76" s="63" t="s">
        <v>855</v>
      </c>
      <c r="E76" s="7" t="s">
        <v>51</v>
      </c>
      <c r="G76" s="73">
        <f>MAX(0,Inputs!$K$240-G75-(0))</f>
        <v>0</v>
      </c>
      <c r="H76" s="73">
        <f>MAX(0,Inputs!$K$240-H75-(SUM($G77:G77)+SUM($G78:G78)))</f>
        <v>0</v>
      </c>
      <c r="I76" s="73">
        <f>MAX(0,Inputs!$K$240-I75-(SUM($G77:H77)+SUM($G78:H78)))</f>
        <v>0</v>
      </c>
      <c r="J76" s="73">
        <f>MAX(0,Inputs!$K$240-J75-(SUM($G77:I77)+SUM($G78:I78)))</f>
        <v>0</v>
      </c>
      <c r="K76" s="73">
        <f>MAX(0,Inputs!$K$240-K75-(SUM($G77:J77)+SUM($G78:J78)))</f>
        <v>0</v>
      </c>
      <c r="L76" s="73">
        <f>MAX(0,Inputs!$K$240-L75-(SUM($G77:K77)+SUM($G78:K78)))</f>
        <v>0</v>
      </c>
      <c r="M76" s="73">
        <f>MAX(0,Inputs!$K$240-M75-(SUM($G77:L77)+SUM($G78:L78)))</f>
        <v>0</v>
      </c>
      <c r="N76" s="73">
        <f>MAX(0,Inputs!$K$240-N75-(SUM($G77:M77)+SUM($G78:M78)))</f>
        <v>0</v>
      </c>
      <c r="O76" s="73">
        <f>MAX(0,Inputs!$K$240-O75-(SUM($G77:N77)+SUM($G78:N78)))</f>
        <v>0</v>
      </c>
      <c r="P76" s="73">
        <f>MAX(0,Inputs!$K$240-P75-(SUM($G77:O77)+SUM($G78:O78)))</f>
        <v>0</v>
      </c>
      <c r="Q76" s="73">
        <f>MAX(0,Inputs!$K$240-Q75-(SUM($G77:P77)+SUM($G78:P78)))</f>
        <v>0</v>
      </c>
    </row>
    <row r="77" spans="3:18" x14ac:dyDescent="0.2">
      <c r="D77" s="63" t="s">
        <v>856</v>
      </c>
      <c r="E77" s="7" t="s">
        <v>51</v>
      </c>
      <c r="G77" s="73">
        <f>MIN('Dilution Calcs'!$I$58-0,G76)</f>
        <v>0</v>
      </c>
      <c r="H77" s="73">
        <f>MIN('Dilution Calcs'!$I$58-SUM($G77:G77),H76)</f>
        <v>0</v>
      </c>
      <c r="I77" s="73">
        <f>MIN('Dilution Calcs'!$I$58-SUM($G77:H77),I76)</f>
        <v>0</v>
      </c>
      <c r="J77" s="73">
        <f>MIN('Dilution Calcs'!$I$58-SUM($G77:I77),J76)</f>
        <v>0</v>
      </c>
      <c r="K77" s="73">
        <f>MIN('Dilution Calcs'!$I$58-SUM($G77:J77),K76)</f>
        <v>0</v>
      </c>
      <c r="L77" s="73">
        <f>MIN('Dilution Calcs'!$I$58-SUM($G77:K77),L76)</f>
        <v>0</v>
      </c>
      <c r="M77" s="73">
        <f>MIN('Dilution Calcs'!$I$58-SUM($G77:L77),M76)</f>
        <v>0</v>
      </c>
      <c r="N77" s="73">
        <f>MIN('Dilution Calcs'!$I$58-SUM($G77:M77),N76)</f>
        <v>0</v>
      </c>
      <c r="O77" s="73">
        <f>MIN('Dilution Calcs'!$I$58-SUM($G77:N77),O76)</f>
        <v>0</v>
      </c>
      <c r="P77" s="73">
        <f>MIN('Dilution Calcs'!$I$58-SUM($G77:O77),P76)</f>
        <v>0</v>
      </c>
      <c r="Q77" s="73">
        <f>MIN('Dilution Calcs'!$I$58-SUM($G77:P77),Q76)</f>
        <v>0</v>
      </c>
    </row>
    <row r="78" spans="3:18" x14ac:dyDescent="0.2">
      <c r="D78" s="63" t="s">
        <v>857</v>
      </c>
      <c r="E78" s="7" t="s">
        <v>51</v>
      </c>
      <c r="G78" s="73">
        <f t="shared" ref="G78:Q78" si="25">G76-G77</f>
        <v>0</v>
      </c>
      <c r="H78" s="73">
        <f t="shared" si="25"/>
        <v>0</v>
      </c>
      <c r="I78" s="73">
        <f t="shared" si="25"/>
        <v>0</v>
      </c>
      <c r="J78" s="73">
        <f t="shared" si="25"/>
        <v>0</v>
      </c>
      <c r="K78" s="73">
        <f t="shared" si="25"/>
        <v>0</v>
      </c>
      <c r="L78" s="73">
        <f t="shared" si="25"/>
        <v>0</v>
      </c>
      <c r="M78" s="73">
        <f t="shared" si="25"/>
        <v>0</v>
      </c>
      <c r="N78" s="73">
        <f t="shared" si="25"/>
        <v>0</v>
      </c>
      <c r="O78" s="73">
        <f t="shared" si="25"/>
        <v>0</v>
      </c>
      <c r="P78" s="73">
        <f t="shared" si="25"/>
        <v>0</v>
      </c>
      <c r="Q78" s="73">
        <f t="shared" si="25"/>
        <v>0</v>
      </c>
    </row>
    <row r="79" spans="3:18" x14ac:dyDescent="0.2">
      <c r="D79" s="63" t="s">
        <v>858</v>
      </c>
      <c r="E79" s="7" t="s">
        <v>51</v>
      </c>
      <c r="G79" s="73">
        <f>G75+SUM($G77:G77)+SUM($G78:G78)</f>
        <v>133.3394383798726</v>
      </c>
      <c r="H79" s="73">
        <f>H75+SUM($G77:H77)+SUM($G78:H78)</f>
        <v>150.55237112247059</v>
      </c>
      <c r="I79" s="73">
        <f>I75+SUM($G77:I77)+SUM($G78:I78)</f>
        <v>191.37208246910495</v>
      </c>
      <c r="J79" s="73">
        <f>J75+SUM($G77:J77)+SUM($G78:J78)</f>
        <v>262.66748648867525</v>
      </c>
      <c r="K79" s="73">
        <f>K75+SUM($G77:K77)+SUM($G78:K78)</f>
        <v>352.88364986308221</v>
      </c>
      <c r="L79" s="73">
        <f>L75+SUM($G77:L77)+SUM($G78:L78)</f>
        <v>464.58501231959087</v>
      </c>
      <c r="M79" s="73">
        <f>M75+SUM($G77:M77)+SUM($G78:M78)</f>
        <v>584.31689049431486</v>
      </c>
      <c r="N79" s="73">
        <f>N75+SUM($G77:N77)+SUM($G78:N78)</f>
        <v>727.83584971428297</v>
      </c>
      <c r="O79" s="73">
        <f>O75+SUM($G77:O77)+SUM($G78:O78)</f>
        <v>897.49879761144064</v>
      </c>
      <c r="P79" s="73">
        <f>P75+SUM($G77:P77)+SUM($G78:P78)</f>
        <v>1095.0713913891886</v>
      </c>
      <c r="Q79" s="73">
        <f>Q75+SUM($G77:Q77)+SUM($G78:Q78)</f>
        <v>1322.3706800200753</v>
      </c>
    </row>
    <row r="80" spans="3:18" x14ac:dyDescent="0.2">
      <c r="D80" s="63" t="s">
        <v>859</v>
      </c>
      <c r="E80" s="7" t="s">
        <v>51</v>
      </c>
      <c r="G80" s="73">
        <f>G77*((1+'Dilution Calcs'!$I$60)^'Dilution Calcs'!$I$62/'Dilution Calcs'!$I$61-1)*IF('Compute Commitments'!M$12&gt;0,G$82,1)</f>
        <v>0</v>
      </c>
      <c r="H80" s="73">
        <f>H77*((1+'Dilution Calcs'!$I$60)^'Dilution Calcs'!$I$62/'Dilution Calcs'!$I$61-1)*IF('Compute Commitments'!N$12&gt;0,H$82,1)</f>
        <v>0</v>
      </c>
      <c r="I80" s="73">
        <f>I77*((1+'Dilution Calcs'!$I$60)^'Dilution Calcs'!$I$62/'Dilution Calcs'!$I$61-1)*IF('Compute Commitments'!O$12&gt;0,I$82,1)</f>
        <v>0</v>
      </c>
      <c r="J80" s="73">
        <f>J77*((1+'Dilution Calcs'!$I$60)^'Dilution Calcs'!$I$62/'Dilution Calcs'!$I$61-1)*IF('Compute Commitments'!P$12&gt;0,J$82,1)</f>
        <v>0</v>
      </c>
      <c r="K80" s="73">
        <f>K77*((1+'Dilution Calcs'!$I$60)^'Dilution Calcs'!$I$62/'Dilution Calcs'!$I$61-1)*IF('Compute Commitments'!Q$12&gt;0,K$82,1)</f>
        <v>0</v>
      </c>
      <c r="L80" s="73">
        <f>L77*((1+'Dilution Calcs'!$I$60)^'Dilution Calcs'!$I$62/'Dilution Calcs'!$I$61-1)*IF('Compute Commitments'!R$12&gt;0,L$82,1)</f>
        <v>0</v>
      </c>
      <c r="M80" s="73">
        <f>M77*((1+'Dilution Calcs'!$I$60)^'Dilution Calcs'!$I$62/'Dilution Calcs'!$I$61-1)*IF('Compute Commitments'!S$12&gt;0,M$82,1)</f>
        <v>0</v>
      </c>
      <c r="N80" s="73">
        <f>N77*((1+'Dilution Calcs'!$I$60)^'Dilution Calcs'!$I$62/'Dilution Calcs'!$I$61-1)*IF('Compute Commitments'!T$12&gt;0,N$82,1)</f>
        <v>0</v>
      </c>
      <c r="O80" s="73">
        <f>O77*((1+'Dilution Calcs'!$I$60)^'Dilution Calcs'!$I$62/'Dilution Calcs'!$I$61-1)*IF('Compute Commitments'!U$12&gt;0,O$82,1)</f>
        <v>0</v>
      </c>
      <c r="P80" s="73">
        <f>P77*((1+'Dilution Calcs'!$I$60)^'Dilution Calcs'!$I$62/'Dilution Calcs'!$I$61-1)*IF('Compute Commitments'!V$12&gt;0,P$82,1)</f>
        <v>0</v>
      </c>
      <c r="Q80" s="73">
        <f>Q77*((1+'Dilution Calcs'!$I$60)^'Dilution Calcs'!$I$62/'Dilution Calcs'!$I$61-1)*IF('Compute Commitments'!W$12&gt;0,Q$82,1)</f>
        <v>0</v>
      </c>
    </row>
    <row r="81" spans="3:18" x14ac:dyDescent="0.2">
      <c r="D81" s="63" t="s">
        <v>860</v>
      </c>
      <c r="E81" s="7" t="s">
        <v>51</v>
      </c>
      <c r="G81" s="73">
        <f>G78*((1+'Dilution Calcs'!$I$64)^'Dilution Calcs'!$I$62/'Dilution Calcs'!$I$65-1)*IF('Compute Commitments'!M$12&gt;0,G$82,1)</f>
        <v>0</v>
      </c>
      <c r="H81" s="73">
        <f>H78*((1+'Dilution Calcs'!$I$64)^'Dilution Calcs'!$I$62/'Dilution Calcs'!$I$65-1)*IF('Compute Commitments'!N$12&gt;0,H$82,1)</f>
        <v>0</v>
      </c>
      <c r="I81" s="73">
        <f>I78*((1+'Dilution Calcs'!$I$64)^'Dilution Calcs'!$I$62/'Dilution Calcs'!$I$65-1)*IF('Compute Commitments'!O$12&gt;0,I$82,1)</f>
        <v>0</v>
      </c>
      <c r="J81" s="73">
        <f>J78*((1+'Dilution Calcs'!$I$64)^'Dilution Calcs'!$I$62/'Dilution Calcs'!$I$65-1)*IF('Compute Commitments'!P$12&gt;0,J$82,1)</f>
        <v>0</v>
      </c>
      <c r="K81" s="73">
        <f>K78*((1+'Dilution Calcs'!$I$64)^'Dilution Calcs'!$I$62/'Dilution Calcs'!$I$65-1)*IF('Compute Commitments'!Q$12&gt;0,K$82,1)</f>
        <v>0</v>
      </c>
      <c r="L81" s="73">
        <f>L78*((1+'Dilution Calcs'!$I$64)^'Dilution Calcs'!$I$62/'Dilution Calcs'!$I$65-1)*IF('Compute Commitments'!R$12&gt;0,L$82,1)</f>
        <v>0</v>
      </c>
      <c r="M81" s="73">
        <f>M78*((1+'Dilution Calcs'!$I$64)^'Dilution Calcs'!$I$62/'Dilution Calcs'!$I$65-1)*IF('Compute Commitments'!S$12&gt;0,M$82,1)</f>
        <v>0</v>
      </c>
      <c r="N81" s="73">
        <f>N78*((1+'Dilution Calcs'!$I$64)^'Dilution Calcs'!$I$62/'Dilution Calcs'!$I$65-1)*IF('Compute Commitments'!T$12&gt;0,N$82,1)</f>
        <v>0</v>
      </c>
      <c r="O81" s="73">
        <f>O78*((1+'Dilution Calcs'!$I$64)^'Dilution Calcs'!$I$62/'Dilution Calcs'!$I$65-1)*IF('Compute Commitments'!U$12&gt;0,O$82,1)</f>
        <v>0</v>
      </c>
      <c r="P81" s="73">
        <f>P78*((1+'Dilution Calcs'!$I$64)^'Dilution Calcs'!$I$62/'Dilution Calcs'!$I$65-1)*IF('Compute Commitments'!V$12&gt;0,P$82,1)</f>
        <v>0</v>
      </c>
      <c r="Q81" s="73">
        <f>Q78*((1+'Dilution Calcs'!$I$64)^'Dilution Calcs'!$I$62/'Dilution Calcs'!$I$65-1)*IF('Compute Commitments'!W$12&gt;0,Q$82,1)</f>
        <v>0</v>
      </c>
    </row>
    <row r="82" spans="3:18" x14ac:dyDescent="0.2">
      <c r="D82" s="63" t="s">
        <v>210</v>
      </c>
      <c r="E82" s="7" t="s">
        <v>59</v>
      </c>
      <c r="G82" s="207">
        <f>IF('Compute Commitments'!M$12&gt;0,1/(1+$F$24)^'Compute Commitments'!M$12,0)</f>
        <v>0</v>
      </c>
      <c r="H82" s="207">
        <f>IF('Compute Commitments'!N$12&gt;0,G160/(1+H159)^('Compute Commitments'!N$12-('Compute Commitments'!N$8-ValDate)),0)</f>
        <v>0.9548089511008887</v>
      </c>
      <c r="I82" s="207">
        <f>IF('Compute Commitments'!O$12&gt;0,H160/(1+I159)^('Compute Commitments'!O$12-('Compute Commitments'!O$8-ValDate)),0)</f>
        <v>0.87046125544797959</v>
      </c>
      <c r="J82" s="207">
        <f>IF('Compute Commitments'!P$12&gt;0,I160/(1+J159)^('Compute Commitments'!P$12-('Compute Commitments'!P$8-ValDate)),0)</f>
        <v>0.79356482400216943</v>
      </c>
      <c r="K82" s="207">
        <f>IF('Compute Commitments'!Q$12&gt;0,J160/(1+K159)^('Compute Commitments'!Q$12-('Compute Commitments'!Q$8-ValDate)),0)</f>
        <v>0.72346141307518408</v>
      </c>
      <c r="L82" s="207">
        <f>IF('Compute Commitments'!R$12&gt;0,K160/(1+L159)^('Compute Commitments'!R$12-('Compute Commitments'!R$8-ValDate)),0)</f>
        <v>0.65955092813855776</v>
      </c>
      <c r="M82" s="207">
        <f>IF('Compute Commitments'!S$12&gt;0,L160/(1+M159)^('Compute Commitments'!S$12-('Compute Commitments'!S$8-ValDate)),0)</f>
        <v>0.60128628693459552</v>
      </c>
      <c r="N82" s="207">
        <f>IF('Compute Commitments'!T$12&gt;0,M160/(1+N159)^('Compute Commitments'!T$12-('Compute Commitments'!T$8-ValDate)),0)</f>
        <v>0.54816873637942887</v>
      </c>
      <c r="O82" s="207">
        <f>IF('Compute Commitments'!U$12&gt;0,N160/(1+O159)^('Compute Commitments'!U$12-('Compute Commitments'!U$8-ValDate)),0)</f>
        <v>0.49974358317023326</v>
      </c>
      <c r="P82" s="207">
        <f>IF('Compute Commitments'!V$12&gt;0,O160/(1+P159)^('Compute Commitments'!V$12-('Compute Commitments'!V$8-ValDate)),0)</f>
        <v>0.45559630155003489</v>
      </c>
      <c r="Q82" s="207">
        <f>IF('Compute Commitments'!W$12&gt;0,P160/(1+Q159)^('Compute Commitments'!W$12-('Compute Commitments'!W$8-ValDate)),0)</f>
        <v>0.41534898491205663</v>
      </c>
    </row>
    <row r="83" spans="3:18" x14ac:dyDescent="0.2">
      <c r="D83" s="63" t="s">
        <v>211</v>
      </c>
      <c r="E83" s="7" t="s">
        <v>51</v>
      </c>
      <c r="G83" s="73">
        <f t="shared" ref="G83:Q83" si="26">G74*G82</f>
        <v>0</v>
      </c>
      <c r="H83" s="73">
        <f t="shared" si="26"/>
        <v>5.7876956046089783</v>
      </c>
      <c r="I83" s="73">
        <f t="shared" si="26"/>
        <v>22.160113463698963</v>
      </c>
      <c r="J83" s="73">
        <f t="shared" si="26"/>
        <v>39.220324306778188</v>
      </c>
      <c r="K83" s="73">
        <f t="shared" si="26"/>
        <v>43.29157546893726</v>
      </c>
      <c r="L83" s="73">
        <f t="shared" si="26"/>
        <v>47.788252462241346</v>
      </c>
      <c r="M83" s="73">
        <f t="shared" si="26"/>
        <v>44.076677401388089</v>
      </c>
      <c r="N83" s="73">
        <f t="shared" si="26"/>
        <v>48.506627535832905</v>
      </c>
      <c r="O83" s="73">
        <f t="shared" si="26"/>
        <v>52.610487295550151</v>
      </c>
      <c r="P83" s="73">
        <f t="shared" si="26"/>
        <v>56.028343596595604</v>
      </c>
      <c r="Q83" s="73">
        <f t="shared" si="26"/>
        <v>58.800456361556087</v>
      </c>
    </row>
    <row r="85" spans="3:18" x14ac:dyDescent="0.2">
      <c r="C85" s="200" t="s">
        <v>8</v>
      </c>
      <c r="D85" s="203" t="s">
        <v>212</v>
      </c>
      <c r="E85" s="215"/>
      <c r="F85" s="215"/>
      <c r="G85" s="215"/>
      <c r="H85" s="215"/>
      <c r="I85" s="215"/>
      <c r="J85" s="215"/>
      <c r="K85" s="215"/>
      <c r="L85" s="215"/>
      <c r="M85" s="215"/>
      <c r="N85" s="215"/>
      <c r="O85" s="215"/>
      <c r="P85" s="215"/>
      <c r="Q85" s="215"/>
      <c r="R85" s="215"/>
    </row>
    <row r="86" spans="3:18" x14ac:dyDescent="0.2">
      <c r="D86" s="63" t="s">
        <v>213</v>
      </c>
      <c r="E86" s="7" t="s">
        <v>51</v>
      </c>
      <c r="F86" s="208">
        <f>SUM(H83:Q83)</f>
        <v>418.27055349718762</v>
      </c>
    </row>
    <row r="87" spans="3:18" ht="25.5" x14ac:dyDescent="0.2">
      <c r="D87" s="36" t="s">
        <v>1466</v>
      </c>
      <c r="E87" s="7" t="s">
        <v>51</v>
      </c>
      <c r="F87" s="208">
        <f>Q58*(1-Inputs!$K$183)*(1+$F$25)*(1-$F$25/Inputs!$K$186)</f>
        <v>96.844386075725296</v>
      </c>
    </row>
    <row r="88" spans="3:18" x14ac:dyDescent="0.2">
      <c r="D88" s="63" t="s">
        <v>214</v>
      </c>
      <c r="E88" s="7" t="s">
        <v>51</v>
      </c>
      <c r="F88" s="208">
        <f>IF($F$24&gt;$F$25,DCF!$E$106,NA())</f>
        <v>857.30180956022298</v>
      </c>
    </row>
    <row r="89" spans="3:18" x14ac:dyDescent="0.2">
      <c r="D89" s="63" t="s">
        <v>215</v>
      </c>
      <c r="E89" s="7" t="s">
        <v>51</v>
      </c>
      <c r="F89" s="208">
        <f>F86+F88</f>
        <v>1275.5723630574107</v>
      </c>
    </row>
    <row r="90" spans="3:18" x14ac:dyDescent="0.2">
      <c r="D90" s="63" t="s">
        <v>216</v>
      </c>
      <c r="E90" s="7" t="s">
        <v>51</v>
      </c>
      <c r="F90" s="208">
        <f>F89*(1-$F$26*(1-Inputs!$K$189))</f>
        <v>1275.5723630574107</v>
      </c>
    </row>
    <row r="91" spans="3:18" x14ac:dyDescent="0.2">
      <c r="D91" s="63" t="s">
        <v>978</v>
      </c>
      <c r="E91" s="7" t="s">
        <v>51</v>
      </c>
      <c r="F91" s="208">
        <f>DCF!$E$23+G74+G48</f>
        <v>140.01201660488724</v>
      </c>
    </row>
    <row r="92" spans="3:18" x14ac:dyDescent="0.2">
      <c r="D92" s="63" t="s">
        <v>217</v>
      </c>
      <c r="E92" s="7" t="s">
        <v>51</v>
      </c>
      <c r="F92" s="208">
        <f>SUM(G76:Q76)</f>
        <v>0</v>
      </c>
    </row>
    <row r="93" spans="3:18" x14ac:dyDescent="0.2">
      <c r="D93" s="63" t="s">
        <v>218</v>
      </c>
      <c r="E93" s="7" t="s">
        <v>51</v>
      </c>
      <c r="F93" s="208">
        <f>SUM(G77:Q77)</f>
        <v>0</v>
      </c>
    </row>
    <row r="94" spans="3:18" x14ac:dyDescent="0.2">
      <c r="D94" s="63" t="s">
        <v>861</v>
      </c>
      <c r="E94" s="7" t="s">
        <v>51</v>
      </c>
      <c r="F94" s="208">
        <f>SUM(G80:Q80)</f>
        <v>0</v>
      </c>
    </row>
    <row r="95" spans="3:18" x14ac:dyDescent="0.2">
      <c r="D95" s="63" t="s">
        <v>219</v>
      </c>
      <c r="E95" s="7" t="s">
        <v>51</v>
      </c>
      <c r="F95" s="208">
        <f>SUM(G78:Q78)</f>
        <v>0</v>
      </c>
    </row>
    <row r="96" spans="3:18" x14ac:dyDescent="0.2">
      <c r="D96" s="63" t="s">
        <v>862</v>
      </c>
      <c r="E96" s="7" t="s">
        <v>51</v>
      </c>
      <c r="F96" s="208">
        <f>SUM(G81:Q81)</f>
        <v>0</v>
      </c>
    </row>
    <row r="97" spans="2:18" x14ac:dyDescent="0.2">
      <c r="D97" s="63" t="s">
        <v>220</v>
      </c>
      <c r="E97" s="7"/>
      <c r="F97" s="208" t="str">
        <f>IF(F95&gt;Tol,"FINANCING-CONTINGENT","Funded")</f>
        <v>Funded</v>
      </c>
    </row>
    <row r="98" spans="2:18" ht="25.5" x14ac:dyDescent="0.2">
      <c r="D98" s="36" t="s">
        <v>863</v>
      </c>
      <c r="E98" s="7" t="s">
        <v>59</v>
      </c>
      <c r="F98" s="208">
        <f>$F$31*SUMPRODUCT(('Compute Commitments'!$N$44:$W$44+'Compute Commitments'!$N$45:$W$45)/(1+Inputs!$K$181)^'Compute Commitments'!$N$12:$W$12)</f>
        <v>0</v>
      </c>
    </row>
    <row r="99" spans="2:18" x14ac:dyDescent="0.2">
      <c r="D99" s="11" t="s">
        <v>221</v>
      </c>
      <c r="E99" s="7" t="s">
        <v>51</v>
      </c>
      <c r="F99" s="209">
        <f>(F90+F91-F94-F96-F98)*(1-Inputs!$K$234)</f>
        <v>1415.584379662298</v>
      </c>
    </row>
    <row r="100" spans="2:18" x14ac:dyDescent="0.2">
      <c r="D100" s="11" t="s">
        <v>5</v>
      </c>
      <c r="E100" s="7" t="s">
        <v>114</v>
      </c>
      <c r="F100" s="210">
        <f>F99*MperB/('Dilution Calcs'!$I$48*(1+'Dilution Calcs'!$I$49)^$F$19)</f>
        <v>82.237886931210411</v>
      </c>
    </row>
    <row r="101" spans="2:18" x14ac:dyDescent="0.2">
      <c r="D101" s="63" t="s">
        <v>9</v>
      </c>
      <c r="E101" s="7" t="s">
        <v>51</v>
      </c>
      <c r="F101" s="208">
        <f>L35</f>
        <v>410.53137216965064</v>
      </c>
    </row>
    <row r="102" spans="2:18" x14ac:dyDescent="0.2">
      <c r="D102" s="63" t="s">
        <v>10</v>
      </c>
      <c r="E102" s="7" t="s">
        <v>54</v>
      </c>
      <c r="F102" s="211">
        <f>(L35/H37)^(1/CAGRyrs)-1</f>
        <v>0.49243495017854366</v>
      </c>
    </row>
    <row r="103" spans="2:18" x14ac:dyDescent="0.2">
      <c r="D103" s="63" t="s">
        <v>11</v>
      </c>
      <c r="E103" s="7" t="s">
        <v>51</v>
      </c>
      <c r="F103" s="208">
        <f>Q35</f>
        <v>737.80325502079654</v>
      </c>
    </row>
    <row r="104" spans="2:18" x14ac:dyDescent="0.2">
      <c r="D104" s="63" t="s">
        <v>222</v>
      </c>
      <c r="E104" s="7" t="s">
        <v>54</v>
      </c>
      <c r="F104" s="211">
        <f>Q59</f>
        <v>0.25783147702839776</v>
      </c>
    </row>
    <row r="105" spans="2:18" x14ac:dyDescent="0.2">
      <c r="D105" s="63" t="s">
        <v>223</v>
      </c>
      <c r="E105" s="7" t="s">
        <v>59</v>
      </c>
      <c r="F105" s="212">
        <f>COUNTIF(H43:Q43,"&gt;"&amp;Tol)</f>
        <v>2</v>
      </c>
    </row>
    <row r="106" spans="2:18" x14ac:dyDescent="0.2">
      <c r="D106" s="63" t="s">
        <v>224</v>
      </c>
      <c r="E106" s="7" t="s">
        <v>51</v>
      </c>
      <c r="F106" s="208">
        <f>MIN(G75:Q75)</f>
        <v>133.3394383798726</v>
      </c>
    </row>
    <row r="107" spans="2:18" x14ac:dyDescent="0.2">
      <c r="D107" s="63" t="s">
        <v>225</v>
      </c>
      <c r="E107" s="7" t="s">
        <v>54</v>
      </c>
      <c r="F107" s="211">
        <f>(L35/Inputs!$K$96)^(1/CAGRyrs)-1</f>
        <v>0.43348314326933424</v>
      </c>
    </row>
    <row r="108" spans="2:18" x14ac:dyDescent="0.2">
      <c r="D108" s="63" t="s">
        <v>6</v>
      </c>
      <c r="E108" s="7" t="s">
        <v>54</v>
      </c>
      <c r="F108" s="211">
        <f>IF(OR(F89&lt;=0,F88/F89&gt;1),"n.m.",F88/F89)</f>
        <v>0.67209186588627723</v>
      </c>
    </row>
    <row r="110" spans="2:18" x14ac:dyDescent="0.2">
      <c r="B110" s="200" t="s">
        <v>8</v>
      </c>
      <c r="C110" s="200" t="s">
        <v>8</v>
      </c>
      <c r="D110" s="201" t="s">
        <v>226</v>
      </c>
      <c r="E110" s="202"/>
      <c r="F110" s="202"/>
      <c r="G110" s="202"/>
      <c r="H110" s="202"/>
      <c r="I110" s="202"/>
      <c r="J110" s="202"/>
      <c r="K110" s="202"/>
      <c r="L110" s="202"/>
      <c r="M110" s="202"/>
      <c r="N110" s="202"/>
      <c r="O110" s="202"/>
      <c r="P110" s="202"/>
      <c r="Q110" s="202"/>
      <c r="R110" s="202"/>
    </row>
    <row r="111" spans="2:18" x14ac:dyDescent="0.2">
      <c r="D111" s="63" t="s">
        <v>227</v>
      </c>
      <c r="E111" s="7" t="s">
        <v>51</v>
      </c>
      <c r="G111" s="73">
        <f>G35*(1-Inputs!$K$99)</f>
        <v>17.571004148125866</v>
      </c>
      <c r="H111" s="14">
        <f>'Revenue Engine'!G76</f>
        <v>108.4775105754924</v>
      </c>
      <c r="I111" s="14">
        <f>'Revenue Engine'!H76</f>
        <v>174.62485632835822</v>
      </c>
      <c r="J111" s="14">
        <f>'Revenue Engine'!I76</f>
        <v>245.04022601672131</v>
      </c>
      <c r="K111" s="14">
        <f>'Revenue Engine'!J76</f>
        <v>316.64759606374827</v>
      </c>
      <c r="L111" s="14">
        <f>'Revenue Engine'!K76</f>
        <v>387.55287097337572</v>
      </c>
      <c r="M111" s="14">
        <f>'Revenue Engine'!L76</f>
        <v>456.6780890057251</v>
      </c>
      <c r="N111" s="14">
        <f>'Revenue Engine'!M76</f>
        <v>523.49892301550119</v>
      </c>
      <c r="O111" s="14">
        <f>'Revenue Engine'!N76</f>
        <v>587.85796515109553</v>
      </c>
      <c r="P111" s="14">
        <f>'Revenue Engine'!O76</f>
        <v>649.83334965293602</v>
      </c>
      <c r="Q111" s="14">
        <f>'Revenue Engine'!P76</f>
        <v>709.64752624171547</v>
      </c>
    </row>
    <row r="112" spans="2:18" x14ac:dyDescent="0.2">
      <c r="D112" s="63" t="s">
        <v>228</v>
      </c>
      <c r="E112" s="7" t="s">
        <v>51</v>
      </c>
      <c r="G112" s="73">
        <f>G35*Inputs!$K$99</f>
        <v>4.6328778518741354</v>
      </c>
      <c r="H112" s="14">
        <f>'Revenue Engine'!G75</f>
        <v>19.349970909618175</v>
      </c>
      <c r="I112" s="14">
        <f>'Revenue Engine'!H75</f>
        <v>20.228171426872638</v>
      </c>
      <c r="J112" s="14">
        <f>'Revenue Engine'!I75</f>
        <v>21.122851932289695</v>
      </c>
      <c r="K112" s="14">
        <f>'Revenue Engine'!J75</f>
        <v>22.038361363684917</v>
      </c>
      <c r="L112" s="14">
        <f>'Revenue Engine'!K75</f>
        <v>22.978501196274891</v>
      </c>
      <c r="M112" s="14">
        <f>'Revenue Engine'!L75</f>
        <v>23.946631186035873</v>
      </c>
      <c r="N112" s="14">
        <f>'Revenue Engine'!M75</f>
        <v>24.945764025425859</v>
      </c>
      <c r="O112" s="14">
        <f>'Revenue Engine'!N75</f>
        <v>25.978647171500498</v>
      </c>
      <c r="P112" s="14">
        <f>'Revenue Engine'!O75</f>
        <v>27.047831660430486</v>
      </c>
      <c r="Q112" s="14">
        <f>'Revenue Engine'!P75</f>
        <v>28.155728779081119</v>
      </c>
    </row>
    <row r="113" spans="4:17" x14ac:dyDescent="0.2">
      <c r="D113" s="204" t="s">
        <v>1048</v>
      </c>
      <c r="E113" s="7" t="s">
        <v>54</v>
      </c>
      <c r="G113" s="205">
        <f>(Inputs!$K$139+($F$32-Inputs!$K$139)*MIN(1,'Compute Commitments'!M$11/Inputs!$K$137))/G39</f>
        <v>0.2465781202473892</v>
      </c>
      <c r="H113" s="205">
        <f t="shared" ref="H113:Q113" si="27">H114/H40</f>
        <v>0.35240139387246472</v>
      </c>
      <c r="I113" s="205">
        <f t="shared" si="27"/>
        <v>0.36245017649212008</v>
      </c>
      <c r="J113" s="205">
        <f t="shared" si="27"/>
        <v>0.39287580294887581</v>
      </c>
      <c r="K113" s="205">
        <f t="shared" si="27"/>
        <v>0.42319131752945738</v>
      </c>
      <c r="L113" s="205">
        <f t="shared" si="27"/>
        <v>0.45333674070455859</v>
      </c>
      <c r="M113" s="205">
        <f t="shared" si="27"/>
        <v>0.48326203175206356</v>
      </c>
      <c r="N113" s="205">
        <f t="shared" si="27"/>
        <v>0.49699770707800822</v>
      </c>
      <c r="O113" s="205">
        <f t="shared" si="27"/>
        <v>0.51146956657264908</v>
      </c>
      <c r="P113" s="205">
        <f t="shared" si="27"/>
        <v>0.52674897484094896</v>
      </c>
      <c r="Q113" s="205">
        <f t="shared" si="27"/>
        <v>0.54291680213300497</v>
      </c>
    </row>
    <row r="114" spans="4:17" x14ac:dyDescent="0.2">
      <c r="D114" s="63" t="s">
        <v>229</v>
      </c>
      <c r="E114" s="7" t="s">
        <v>51</v>
      </c>
      <c r="G114" s="73">
        <f t="shared" ref="G114" si="28">G40*G113</f>
        <v>3.1847039999999995</v>
      </c>
      <c r="H114" s="14">
        <f>'Revenue Engine'!G84</f>
        <v>20.309740681839116</v>
      </c>
      <c r="I114" s="14">
        <f>'Revenue Engine'!H84</f>
        <v>33.948988133499697</v>
      </c>
      <c r="J114" s="14">
        <f>'Revenue Engine'!I84</f>
        <v>50.492845709336152</v>
      </c>
      <c r="K114" s="14">
        <f>'Revenue Engine'!J84</f>
        <v>69.539138448422761</v>
      </c>
      <c r="L114" s="14">
        <f>'Revenue Engine'!K84</f>
        <v>90.743203078843067</v>
      </c>
      <c r="M114" s="14">
        <f>'Revenue Engine'!L84</f>
        <v>113.82578049887027</v>
      </c>
      <c r="N114" s="14">
        <f>'Revenue Engine'!M84</f>
        <v>130.01511159844975</v>
      </c>
      <c r="O114" s="14">
        <f>'Revenue Engine'!N84</f>
        <v>145.63761846961418</v>
      </c>
      <c r="P114" s="14">
        <f>'Revenue Engine'!O84</f>
        <v>160.70626263375112</v>
      </c>
      <c r="Q114" s="14">
        <f>'Revenue Engine'!P84</f>
        <v>175.27040402643377</v>
      </c>
    </row>
    <row r="115" spans="4:17" x14ac:dyDescent="0.2">
      <c r="D115" s="204" t="s">
        <v>230</v>
      </c>
      <c r="E115" s="7" t="s">
        <v>54</v>
      </c>
      <c r="G115" s="205">
        <f t="shared" ref="G115:Q115" si="29">1-G114/G35</f>
        <v>0.85656994574192025</v>
      </c>
      <c r="H115" s="205">
        <f t="shared" si="29"/>
        <v>0.84111600693466837</v>
      </c>
      <c r="I115" s="205">
        <f t="shared" si="29"/>
        <v>0.8257713081259096</v>
      </c>
      <c r="J115" s="205">
        <f t="shared" si="29"/>
        <v>0.81029357603458019</v>
      </c>
      <c r="K115" s="205">
        <f t="shared" si="29"/>
        <v>0.79467959351895412</v>
      </c>
      <c r="L115" s="205">
        <f t="shared" si="29"/>
        <v>0.77896158678624994</v>
      </c>
      <c r="M115" s="205">
        <f t="shared" si="29"/>
        <v>0.76317119008473855</v>
      </c>
      <c r="N115" s="205">
        <f t="shared" si="29"/>
        <v>0.76293851564150983</v>
      </c>
      <c r="O115" s="205">
        <f t="shared" si="29"/>
        <v>0.76274204642411314</v>
      </c>
      <c r="P115" s="205">
        <f t="shared" si="29"/>
        <v>0.76257832678708914</v>
      </c>
      <c r="Q115" s="205">
        <f t="shared" si="29"/>
        <v>0.76244289675640775</v>
      </c>
    </row>
    <row r="116" spans="4:17" x14ac:dyDescent="0.2">
      <c r="D116" s="204" t="s">
        <v>231</v>
      </c>
      <c r="E116" s="7" t="s">
        <v>54</v>
      </c>
      <c r="G116" s="205">
        <f t="shared" ref="G116:Q116" si="30">1-(G114+G50)/G35</f>
        <v>0.71732719981127624</v>
      </c>
      <c r="H116" s="205">
        <f t="shared" si="30"/>
        <v>0.69892775899073722</v>
      </c>
      <c r="I116" s="205">
        <f t="shared" si="30"/>
        <v>0.68286069840954666</v>
      </c>
      <c r="J116" s="205">
        <f t="shared" si="30"/>
        <v>0.67050430354118618</v>
      </c>
      <c r="K116" s="205">
        <f t="shared" si="30"/>
        <v>0.65967941676497466</v>
      </c>
      <c r="L116" s="205">
        <f t="shared" si="30"/>
        <v>0.64959120781719148</v>
      </c>
      <c r="M116" s="205">
        <f t="shared" si="30"/>
        <v>0.63990094652609553</v>
      </c>
      <c r="N116" s="205">
        <f t="shared" si="30"/>
        <v>0.63916923977962137</v>
      </c>
      <c r="O116" s="205">
        <f t="shared" si="30"/>
        <v>0.63860904908369465</v>
      </c>
      <c r="P116" s="205">
        <f t="shared" si="30"/>
        <v>0.6381736689635612</v>
      </c>
      <c r="Q116" s="205">
        <f t="shared" si="30"/>
        <v>0.63783147702839782</v>
      </c>
    </row>
    <row r="117" spans="4:17" x14ac:dyDescent="0.2">
      <c r="D117" s="204" t="s">
        <v>232</v>
      </c>
      <c r="E117" s="7" t="s">
        <v>54</v>
      </c>
      <c r="G117" s="205">
        <f t="shared" ref="G117:Q117" si="31">1-G42/G35</f>
        <v>0.31547699958272712</v>
      </c>
      <c r="H117" s="205">
        <f t="shared" si="31"/>
        <v>0.37641925480474681</v>
      </c>
      <c r="I117" s="205">
        <f t="shared" si="31"/>
        <v>0.45619607567189502</v>
      </c>
      <c r="J117" s="205">
        <f t="shared" si="31"/>
        <v>0.51713385619193786</v>
      </c>
      <c r="K117" s="205">
        <f t="shared" si="31"/>
        <v>0.51482840508240346</v>
      </c>
      <c r="L117" s="205">
        <f t="shared" si="31"/>
        <v>0.51241892975579106</v>
      </c>
      <c r="M117" s="205">
        <f t="shared" si="31"/>
        <v>0.50993706446037146</v>
      </c>
      <c r="N117" s="205">
        <f t="shared" si="31"/>
        <v>0.52301292142323463</v>
      </c>
      <c r="O117" s="205">
        <f t="shared" si="31"/>
        <v>0.53612498361192951</v>
      </c>
      <c r="P117" s="205">
        <f t="shared" si="31"/>
        <v>0.54926979538099729</v>
      </c>
      <c r="Q117" s="205">
        <f t="shared" si="31"/>
        <v>0.56244289675640768</v>
      </c>
    </row>
    <row r="118" spans="4:17" x14ac:dyDescent="0.2">
      <c r="D118" s="63" t="s">
        <v>233</v>
      </c>
      <c r="E118" s="7" t="s">
        <v>51</v>
      </c>
      <c r="G118" s="73">
        <f t="shared" ref="G118:Q118" si="32">G58+G54</f>
        <v>0.23509700203655015</v>
      </c>
      <c r="H118" s="73">
        <f t="shared" si="32"/>
        <v>10.899482707725685</v>
      </c>
      <c r="I118" s="73">
        <f t="shared" si="32"/>
        <v>31.712113912944368</v>
      </c>
      <c r="J118" s="73">
        <f t="shared" si="32"/>
        <v>57.432769701884197</v>
      </c>
      <c r="K118" s="73">
        <f t="shared" si="32"/>
        <v>70.186259547886706</v>
      </c>
      <c r="L118" s="73">
        <f t="shared" si="32"/>
        <v>84.77858261692873</v>
      </c>
      <c r="M118" s="73">
        <f t="shared" si="32"/>
        <v>106.5385537716904</v>
      </c>
      <c r="N118" s="73">
        <f t="shared" si="32"/>
        <v>128.46968288121832</v>
      </c>
      <c r="O118" s="73">
        <f t="shared" si="32"/>
        <v>151.6127241237335</v>
      </c>
      <c r="P118" s="73">
        <f t="shared" si="32"/>
        <v>175.89782129206037</v>
      </c>
      <c r="Q118" s="73">
        <f t="shared" si="32"/>
        <v>201.29595182368354</v>
      </c>
    </row>
    <row r="119" spans="4:17" x14ac:dyDescent="0.2">
      <c r="D119" s="204" t="s">
        <v>234</v>
      </c>
      <c r="E119" s="7" t="s">
        <v>54</v>
      </c>
      <c r="G119" s="205">
        <f t="shared" ref="G119:Q119" si="33">G118/G35</f>
        <v>1.058810355939336E-2</v>
      </c>
      <c r="H119" s="205">
        <f t="shared" si="33"/>
        <v>8.5267131770841179E-2</v>
      </c>
      <c r="I119" s="205">
        <f t="shared" si="33"/>
        <v>0.1627488896543105</v>
      </c>
      <c r="J119" s="205">
        <f t="shared" si="33"/>
        <v>0.21578037849745121</v>
      </c>
      <c r="K119" s="205">
        <f t="shared" si="33"/>
        <v>0.20723108829489872</v>
      </c>
      <c r="L119" s="205">
        <f t="shared" si="33"/>
        <v>0.20650938847590503</v>
      </c>
      <c r="M119" s="205">
        <f t="shared" si="33"/>
        <v>0.2216668209017284</v>
      </c>
      <c r="N119" s="205">
        <f t="shared" si="33"/>
        <v>0.23424364556134611</v>
      </c>
      <c r="O119" s="205">
        <f t="shared" si="33"/>
        <v>0.24699198627151103</v>
      </c>
      <c r="P119" s="205">
        <f t="shared" si="33"/>
        <v>0.25986513755746943</v>
      </c>
      <c r="Q119" s="205">
        <f t="shared" si="33"/>
        <v>0.27283147702839777</v>
      </c>
    </row>
    <row r="120" spans="4:17" x14ac:dyDescent="0.2">
      <c r="D120" s="63" t="s">
        <v>235</v>
      </c>
      <c r="E120" s="7" t="s">
        <v>51</v>
      </c>
      <c r="G120" s="73">
        <f t="shared" ref="G120:Q120" si="34">G58+G48</f>
        <v>1.3063636750076579</v>
      </c>
      <c r="H120" s="73">
        <f t="shared" si="34"/>
        <v>16.141081510326394</v>
      </c>
      <c r="I120" s="73">
        <f t="shared" si="34"/>
        <v>39.738939313889482</v>
      </c>
      <c r="J120" s="73">
        <f t="shared" si="34"/>
        <v>69.386558606725373</v>
      </c>
      <c r="K120" s="73">
        <f t="shared" si="34"/>
        <v>86.656817887629416</v>
      </c>
      <c r="L120" s="73">
        <f t="shared" si="34"/>
        <v>105.18360071180554</v>
      </c>
      <c r="M120" s="73">
        <f t="shared" si="34"/>
        <v>128.16666618031965</v>
      </c>
      <c r="N120" s="73">
        <f t="shared" si="34"/>
        <v>153.14969379806004</v>
      </c>
      <c r="O120" s="73">
        <f t="shared" si="34"/>
        <v>179.23537167825032</v>
      </c>
      <c r="P120" s="73">
        <f t="shared" si="34"/>
        <v>206.35747445116186</v>
      </c>
      <c r="Q120" s="73">
        <f t="shared" si="34"/>
        <v>234.49709829961938</v>
      </c>
    </row>
    <row r="121" spans="4:17" x14ac:dyDescent="0.2">
      <c r="D121" s="204" t="s">
        <v>236</v>
      </c>
      <c r="E121" s="7" t="s">
        <v>54</v>
      </c>
      <c r="G121" s="205">
        <f t="shared" ref="G121:Q121" si="35">G120/G35</f>
        <v>5.8834922425171327E-2</v>
      </c>
      <c r="H121" s="205">
        <f t="shared" si="35"/>
        <v>0.12627238933911497</v>
      </c>
      <c r="I121" s="205">
        <f t="shared" si="35"/>
        <v>0.20394314510631298</v>
      </c>
      <c r="J121" s="205">
        <f t="shared" si="35"/>
        <v>0.26069190039956552</v>
      </c>
      <c r="K121" s="205">
        <f t="shared" si="35"/>
        <v>0.25586185664693967</v>
      </c>
      <c r="L121" s="205">
        <f t="shared" si="35"/>
        <v>0.2562133075382575</v>
      </c>
      <c r="M121" s="205">
        <f t="shared" si="35"/>
        <v>0.26666682090172844</v>
      </c>
      <c r="N121" s="205">
        <f t="shared" si="35"/>
        <v>0.27924364556134612</v>
      </c>
      <c r="O121" s="205">
        <f t="shared" si="35"/>
        <v>0.29199198627151102</v>
      </c>
      <c r="P121" s="205">
        <f t="shared" si="35"/>
        <v>0.30486513755746941</v>
      </c>
      <c r="Q121" s="205">
        <f t="shared" si="35"/>
        <v>0.31783147702839776</v>
      </c>
    </row>
    <row r="122" spans="4:17" x14ac:dyDescent="0.2">
      <c r="D122" s="204" t="s">
        <v>237</v>
      </c>
      <c r="E122" s="7" t="s">
        <v>54</v>
      </c>
      <c r="G122" s="205">
        <f t="shared" ref="G122:Q122" si="36">G41/G35</f>
        <v>0.68452300041727288</v>
      </c>
      <c r="H122" s="205">
        <f t="shared" si="36"/>
        <v>0.62358074519525319</v>
      </c>
      <c r="I122" s="205">
        <f t="shared" si="36"/>
        <v>0.54380392432810498</v>
      </c>
      <c r="J122" s="205">
        <f t="shared" si="36"/>
        <v>0.46304253636031978</v>
      </c>
      <c r="K122" s="205">
        <f t="shared" si="36"/>
        <v>0.39382403015400591</v>
      </c>
      <c r="L122" s="205">
        <f t="shared" si="36"/>
        <v>0.31594922121438013</v>
      </c>
      <c r="M122" s="205">
        <f t="shared" si="36"/>
        <v>0.22579325684967116</v>
      </c>
      <c r="N122" s="205">
        <f t="shared" si="36"/>
        <v>0.13595861093763983</v>
      </c>
      <c r="O122" s="205">
        <f t="shared" si="36"/>
        <v>9.0399835597417127E-2</v>
      </c>
      <c r="P122" s="205">
        <f t="shared" si="36"/>
        <v>4.5045910093816463E-2</v>
      </c>
      <c r="Q122" s="205">
        <f t="shared" si="36"/>
        <v>3.0227353697592146E-2</v>
      </c>
    </row>
    <row r="123" spans="4:17" ht="25.5" x14ac:dyDescent="0.2">
      <c r="D123" s="36" t="s">
        <v>1893</v>
      </c>
      <c r="E123" s="7" t="s">
        <v>51</v>
      </c>
      <c r="G123" s="73">
        <f t="shared" ref="G123" si="37">G41/G39</f>
        <v>26.129513918640992</v>
      </c>
      <c r="H123" s="73">
        <f>IF('Revenue Engine'!G$26&lt;=2028,MAX(0,H41-(H40-H114))/(H114/H35),H41/H39)</f>
        <v>266.78640608447841</v>
      </c>
      <c r="I123" s="73">
        <f>IF('Revenue Engine'!H$26&lt;=2028,MAX(0,I41-(I40-I114))/(I114/I35),I41/I39)</f>
        <v>265.43030310565194</v>
      </c>
      <c r="J123" s="73">
        <f>IF('Revenue Engine'!I$26&lt;=2028,MAX(0,J41-(J40-J114))/(J114/J35),J41/J39)</f>
        <v>255.23600749272865</v>
      </c>
      <c r="K123" s="73">
        <f>IF('Revenue Engine'!J$26&lt;=2028,MAX(0,K41-(K40-K114))/(K114/K35),K41/K39)</f>
        <v>274.91854450649373</v>
      </c>
      <c r="L123" s="73">
        <f>IF('Revenue Engine'!K$26&lt;=2028,MAX(0,L41-(L40-L114))/(L114/L35),L41/L39)</f>
        <v>266.02154028684322</v>
      </c>
      <c r="M123" s="73">
        <f>IF('Revenue Engine'!L$26&lt;=2028,MAX(0,M41-(M40-M114))/(M114/M35),M41/M39)</f>
        <v>221.44466154140335</v>
      </c>
      <c r="N123" s="73">
        <f>IF('Revenue Engine'!M$26&lt;=2028,MAX(0,N41-(N40-N114))/(N114/N35),N41/N39)</f>
        <v>156.32662010195853</v>
      </c>
      <c r="O123" s="73">
        <f>IF('Revenue Engine'!N$26&lt;=2028,MAX(0,O41-(O40-O114))/(O114/O35),O41/O39)</f>
        <v>119.62431016378665</v>
      </c>
      <c r="P123" s="73">
        <f>IF('Revenue Engine'!O$26&lt;=2028,MAX(0,P41-(P40-P114))/(P114/P35),P41/P39)</f>
        <v>67.647405310703931</v>
      </c>
      <c r="Q123" s="73">
        <f>IF('Revenue Engine'!P$26&lt;=2028,MAX(0,Q41-(Q40-Q114))/(Q114/Q35),Q41/Q39)</f>
        <v>50.968981610459068</v>
      </c>
    </row>
    <row r="124" spans="4:17" x14ac:dyDescent="0.2">
      <c r="D124" s="36" t="s">
        <v>1103</v>
      </c>
      <c r="E124" s="7" t="s">
        <v>51</v>
      </c>
      <c r="G124" s="73">
        <f t="shared" ref="G124:Q124" si="38">(G41+G148)/(1-G149)</f>
        <v>22.057156097022432</v>
      </c>
      <c r="H124" s="73">
        <f t="shared" si="38"/>
        <v>115.73377546911829</v>
      </c>
      <c r="I124" s="73">
        <f t="shared" si="38"/>
        <v>157.20345542503952</v>
      </c>
      <c r="J124" s="73">
        <f t="shared" si="38"/>
        <v>188.35077898470442</v>
      </c>
      <c r="K124" s="73">
        <f t="shared" si="38"/>
        <v>208.42142580326961</v>
      </c>
      <c r="L124" s="73">
        <f t="shared" si="38"/>
        <v>202.84292146696399</v>
      </c>
      <c r="M124" s="73">
        <f t="shared" si="38"/>
        <v>155.75884321182107</v>
      </c>
      <c r="N124" s="73">
        <f t="shared" si="38"/>
        <v>107.09923483845193</v>
      </c>
      <c r="O124" s="73">
        <f t="shared" si="38"/>
        <v>79.743296672430745</v>
      </c>
      <c r="P124" s="73">
        <f t="shared" si="38"/>
        <v>43.834003750276281</v>
      </c>
      <c r="Q124" s="73">
        <f t="shared" si="38"/>
        <v>32.071047154707934</v>
      </c>
    </row>
    <row r="125" spans="4:17" x14ac:dyDescent="0.2">
      <c r="D125" s="63" t="s">
        <v>1894</v>
      </c>
      <c r="E125" s="7" t="s">
        <v>51</v>
      </c>
      <c r="G125" s="73">
        <f t="shared" ref="G125:Q125" si="39">G35-G123</f>
        <v>-3.9256319186409918</v>
      </c>
      <c r="H125" s="73">
        <f t="shared" si="39"/>
        <v>-138.95892459936783</v>
      </c>
      <c r="I125" s="73">
        <f t="shared" si="39"/>
        <v>-70.577275350421075</v>
      </c>
      <c r="J125" s="73">
        <f t="shared" si="39"/>
        <v>10.927070456282337</v>
      </c>
      <c r="K125" s="73">
        <f t="shared" si="39"/>
        <v>63.767412920939421</v>
      </c>
      <c r="L125" s="73">
        <f t="shared" si="39"/>
        <v>144.50983188280742</v>
      </c>
      <c r="M125" s="73">
        <f t="shared" si="39"/>
        <v>259.18005865035764</v>
      </c>
      <c r="N125" s="73">
        <f t="shared" si="39"/>
        <v>392.11806693896858</v>
      </c>
      <c r="O125" s="73">
        <f t="shared" si="39"/>
        <v>494.21230215880951</v>
      </c>
      <c r="P125" s="73">
        <f t="shared" si="39"/>
        <v>609.23377600266258</v>
      </c>
      <c r="Q125" s="73">
        <f t="shared" si="39"/>
        <v>686.83427341033746</v>
      </c>
    </row>
    <row r="126" spans="4:17" x14ac:dyDescent="0.2">
      <c r="D126" s="63" t="s">
        <v>238</v>
      </c>
      <c r="E126" s="7"/>
      <c r="G126" s="213" t="str">
        <f t="shared" ref="G126:Q126" si="40">IF(G43&gt;Tol,"BINDS","-")</f>
        <v>BINDS</v>
      </c>
      <c r="H126" s="213" t="str">
        <f t="shared" si="40"/>
        <v>BINDS</v>
      </c>
      <c r="I126" s="213" t="str">
        <f t="shared" si="40"/>
        <v>BINDS</v>
      </c>
      <c r="J126" s="213" t="str">
        <f t="shared" si="40"/>
        <v>-</v>
      </c>
      <c r="K126" s="213" t="str">
        <f t="shared" si="40"/>
        <v>-</v>
      </c>
      <c r="L126" s="213" t="str">
        <f t="shared" si="40"/>
        <v>-</v>
      </c>
      <c r="M126" s="213" t="str">
        <f t="shared" si="40"/>
        <v>-</v>
      </c>
      <c r="N126" s="213" t="str">
        <f t="shared" si="40"/>
        <v>-</v>
      </c>
      <c r="O126" s="213" t="str">
        <f t="shared" si="40"/>
        <v>-</v>
      </c>
      <c r="P126" s="213" t="str">
        <f t="shared" si="40"/>
        <v>-</v>
      </c>
      <c r="Q126" s="213" t="str">
        <f t="shared" si="40"/>
        <v>-</v>
      </c>
    </row>
    <row r="127" spans="4:17" x14ac:dyDescent="0.2">
      <c r="D127" s="63" t="s">
        <v>239</v>
      </c>
      <c r="E127" s="7" t="s">
        <v>51</v>
      </c>
      <c r="G127" s="73">
        <f>IF('Compute Commitments'!M$11=0,Inputs!$K$243,0)+Inputs!$K$244*IF('Compute Commitments'!M$11&lt;ROWS(Inputs!$K$245:$K$248),INDEX(Inputs!$K$245:$K$248,'Compute Commitments'!M$11+1),0)</f>
        <v>11.091999999999999</v>
      </c>
      <c r="H127" s="73">
        <f>IF('Compute Commitments'!N$11=0,Inputs!$K$243,0)+Inputs!$K$244*IF('Compute Commitments'!N$11&lt;ROWS(Inputs!$K$245:$K$248),INDEX(Inputs!$K$245:$K$248,'Compute Commitments'!N$11+1),0)</f>
        <v>12.05</v>
      </c>
      <c r="I127" s="73">
        <f>IF('Compute Commitments'!O$11=0,Inputs!$K$243,0)+Inputs!$K$244*IF('Compute Commitments'!O$11&lt;ROWS(Inputs!$K$245:$K$248),INDEX(Inputs!$K$245:$K$248,'Compute Commitments'!O$11+1),0)</f>
        <v>6.7480000000000011</v>
      </c>
      <c r="J127" s="73">
        <f>IF('Compute Commitments'!P$11=0,Inputs!$K$243,0)+Inputs!$K$244*IF('Compute Commitments'!P$11&lt;ROWS(Inputs!$K$245:$K$248),INDEX(Inputs!$K$245:$K$248,'Compute Commitments'!P$11+1),0)</f>
        <v>2.4099999999999997</v>
      </c>
      <c r="K127" s="73">
        <f>IF('Compute Commitments'!Q$11=0,Inputs!$K$243,0)+Inputs!$K$244*IF('Compute Commitments'!Q$11&lt;ROWS(Inputs!$K$245:$K$248),INDEX(Inputs!$K$245:$K$248,'Compute Commitments'!Q$11+1),0)</f>
        <v>0</v>
      </c>
      <c r="L127" s="73">
        <f>IF('Compute Commitments'!R$11=0,Inputs!$K$243,0)+Inputs!$K$244*IF('Compute Commitments'!R$11&lt;ROWS(Inputs!$K$245:$K$248),INDEX(Inputs!$K$245:$K$248,'Compute Commitments'!R$11+1),0)</f>
        <v>0</v>
      </c>
      <c r="M127" s="73">
        <f>IF('Compute Commitments'!S$11=0,Inputs!$K$243,0)+Inputs!$K$244*IF('Compute Commitments'!S$11&lt;ROWS(Inputs!$K$245:$K$248),INDEX(Inputs!$K$245:$K$248,'Compute Commitments'!S$11+1),0)</f>
        <v>0</v>
      </c>
      <c r="N127" s="73">
        <f>IF('Compute Commitments'!T$11=0,Inputs!$K$243,0)+Inputs!$K$244*IF('Compute Commitments'!T$11&lt;ROWS(Inputs!$K$245:$K$248),INDEX(Inputs!$K$245:$K$248,'Compute Commitments'!T$11+1),0)</f>
        <v>0</v>
      </c>
      <c r="O127" s="73">
        <f>IF('Compute Commitments'!U$11=0,Inputs!$K$243,0)+Inputs!$K$244*IF('Compute Commitments'!U$11&lt;ROWS(Inputs!$K$245:$K$248),INDEX(Inputs!$K$245:$K$248,'Compute Commitments'!U$11+1),0)</f>
        <v>0</v>
      </c>
      <c r="P127" s="73">
        <f>IF('Compute Commitments'!V$11=0,Inputs!$K$243,0)+Inputs!$K$244*IF('Compute Commitments'!V$11&lt;ROWS(Inputs!$K$245:$K$248),INDEX(Inputs!$K$245:$K$248,'Compute Commitments'!V$11+1),0)</f>
        <v>0</v>
      </c>
      <c r="Q127" s="73">
        <f>IF('Compute Commitments'!W$11=0,Inputs!$K$243,0)+Inputs!$K$244*IF('Compute Commitments'!W$11&lt;ROWS(Inputs!$K$245:$K$248),INDEX(Inputs!$K$245:$K$248,'Compute Commitments'!W$11+1),0)</f>
        <v>0</v>
      </c>
    </row>
    <row r="128" spans="4:17" x14ac:dyDescent="0.2">
      <c r="D128" s="63" t="s">
        <v>240</v>
      </c>
      <c r="E128" s="7" t="s">
        <v>51</v>
      </c>
      <c r="G128" s="73">
        <f>IF('Compute Commitments'!M$11=0,Inputs!$K$249,0)</f>
        <v>0</v>
      </c>
      <c r="H128" s="73">
        <f>IF('Compute Commitments'!N$11=0,Inputs!$K$249,0)</f>
        <v>0</v>
      </c>
      <c r="I128" s="73">
        <f>IF('Compute Commitments'!O$11=0,Inputs!$K$249,0)</f>
        <v>0</v>
      </c>
      <c r="J128" s="73">
        <f>IF('Compute Commitments'!P$11=0,Inputs!$K$249,0)</f>
        <v>0</v>
      </c>
      <c r="K128" s="73">
        <f>IF('Compute Commitments'!Q$11=0,Inputs!$K$249,0)</f>
        <v>0</v>
      </c>
      <c r="L128" s="73">
        <f>IF('Compute Commitments'!R$11=0,Inputs!$K$249,0)</f>
        <v>0</v>
      </c>
      <c r="M128" s="73">
        <f>IF('Compute Commitments'!S$11=0,Inputs!$K$249,0)</f>
        <v>0</v>
      </c>
      <c r="N128" s="73">
        <f>IF('Compute Commitments'!T$11=0,Inputs!$K$249,0)</f>
        <v>0</v>
      </c>
      <c r="O128" s="73">
        <f>IF('Compute Commitments'!U$11=0,Inputs!$K$249,0)</f>
        <v>0</v>
      </c>
      <c r="P128" s="73">
        <f>IF('Compute Commitments'!V$11=0,Inputs!$K$249,0)</f>
        <v>0</v>
      </c>
      <c r="Q128" s="73">
        <f>IF('Compute Commitments'!W$11=0,Inputs!$K$249,0)</f>
        <v>0</v>
      </c>
    </row>
    <row r="129" spans="3:18" x14ac:dyDescent="0.2">
      <c r="D129" s="63" t="s">
        <v>241</v>
      </c>
      <c r="E129" s="7" t="s">
        <v>51</v>
      </c>
      <c r="G129" s="73">
        <f t="shared" ref="G129:Q129" si="41">G58-G127-G128</f>
        <v>-10.969785979071686</v>
      </c>
      <c r="H129" s="73">
        <f t="shared" si="41"/>
        <v>-2.0116409658791881</v>
      </c>
      <c r="I129" s="73">
        <f t="shared" si="41"/>
        <v>23.329436009380011</v>
      </c>
      <c r="J129" s="73">
        <f t="shared" si="41"/>
        <v>52.349969393071582</v>
      </c>
      <c r="K129" s="73">
        <f t="shared" si="41"/>
        <v>66.225448077364291</v>
      </c>
      <c r="L129" s="73">
        <f t="shared" si="41"/>
        <v>79.299088340504156</v>
      </c>
      <c r="M129" s="73">
        <f t="shared" si="41"/>
        <v>99.329182968813996</v>
      </c>
      <c r="N129" s="73">
        <f t="shared" si="41"/>
        <v>120.24301257560441</v>
      </c>
      <c r="O129" s="73">
        <f t="shared" si="41"/>
        <v>142.40517493889456</v>
      </c>
      <c r="P129" s="73">
        <f t="shared" si="41"/>
        <v>165.74460357235986</v>
      </c>
      <c r="Q129" s="73">
        <f t="shared" si="41"/>
        <v>190.22890299837158</v>
      </c>
    </row>
    <row r="130" spans="3:18" x14ac:dyDescent="0.2">
      <c r="D130" s="204" t="s">
        <v>242</v>
      </c>
      <c r="E130" s="7" t="s">
        <v>54</v>
      </c>
      <c r="G130" s="205">
        <f t="shared" ref="G130:Q130" si="42">G129/G35</f>
        <v>-0.49404811190546255</v>
      </c>
      <c r="H130" s="205">
        <f t="shared" si="42"/>
        <v>-1.5737155598371896E-2</v>
      </c>
      <c r="I130" s="205">
        <f t="shared" si="42"/>
        <v>0.11972837311353365</v>
      </c>
      <c r="J130" s="205">
        <f t="shared" si="42"/>
        <v>0.19668381428584281</v>
      </c>
      <c r="K130" s="205">
        <f t="shared" si="42"/>
        <v>0.1955364449721945</v>
      </c>
      <c r="L130" s="205">
        <f t="shared" si="42"/>
        <v>0.19316206681455295</v>
      </c>
      <c r="M130" s="205">
        <f t="shared" si="42"/>
        <v>0.20666682090172842</v>
      </c>
      <c r="N130" s="205">
        <f t="shared" si="42"/>
        <v>0.21924364556134612</v>
      </c>
      <c r="O130" s="205">
        <f t="shared" si="42"/>
        <v>0.23199198627151105</v>
      </c>
      <c r="P130" s="205">
        <f t="shared" si="42"/>
        <v>0.24486513755746939</v>
      </c>
      <c r="Q130" s="205">
        <f t="shared" si="42"/>
        <v>0.25783147702839776</v>
      </c>
    </row>
    <row r="131" spans="3:18" x14ac:dyDescent="0.2">
      <c r="D131" s="63" t="s">
        <v>243</v>
      </c>
      <c r="E131" s="7" t="s">
        <v>51</v>
      </c>
      <c r="G131" s="73">
        <f>G75-Inputs!$K$240</f>
        <v>128.3394383798726</v>
      </c>
      <c r="H131" s="73">
        <f>H75-Inputs!$K$240</f>
        <v>145.55237112247059</v>
      </c>
      <c r="I131" s="73">
        <f>I75-Inputs!$K$240</f>
        <v>186.37208246910495</v>
      </c>
      <c r="J131" s="73">
        <f>J75-Inputs!$K$240</f>
        <v>257.66748648867525</v>
      </c>
      <c r="K131" s="73">
        <f>K75-Inputs!$K$240</f>
        <v>347.88364986308221</v>
      </c>
      <c r="L131" s="73">
        <f>L75-Inputs!$K$240</f>
        <v>459.58501231959087</v>
      </c>
      <c r="M131" s="73">
        <f>M75-Inputs!$K$240</f>
        <v>579.31689049431486</v>
      </c>
      <c r="N131" s="73">
        <f>N75-Inputs!$K$240</f>
        <v>722.83584971428297</v>
      </c>
      <c r="O131" s="73">
        <f>O75-Inputs!$K$240</f>
        <v>892.49879761144064</v>
      </c>
      <c r="P131" s="73">
        <f>P75-Inputs!$K$240</f>
        <v>1090.0713913891886</v>
      </c>
      <c r="Q131" s="73">
        <f>Q75-Inputs!$K$240</f>
        <v>1317.3706800200753</v>
      </c>
    </row>
    <row r="133" spans="3:18" x14ac:dyDescent="0.2">
      <c r="C133" s="200" t="s">
        <v>8</v>
      </c>
      <c r="D133" s="203" t="s">
        <v>1018</v>
      </c>
      <c r="E133" s="215"/>
      <c r="F133" s="215"/>
      <c r="G133" s="215"/>
      <c r="H133" s="215"/>
      <c r="I133" s="215"/>
      <c r="J133" s="215"/>
      <c r="K133" s="215"/>
      <c r="L133" s="215"/>
      <c r="M133" s="215"/>
      <c r="N133" s="215"/>
      <c r="O133" s="215"/>
      <c r="P133" s="215"/>
      <c r="Q133" s="215"/>
      <c r="R133" s="215"/>
    </row>
    <row r="134" spans="3:18" x14ac:dyDescent="0.2">
      <c r="D134" s="63" t="s">
        <v>244</v>
      </c>
      <c r="E134" s="4" t="s">
        <v>59</v>
      </c>
      <c r="F134" s="73">
        <f>Historicals!J7/MperB+G35</f>
        <v>55.445881999999997</v>
      </c>
    </row>
    <row r="135" spans="3:18" x14ac:dyDescent="0.2">
      <c r="D135" s="63" t="s">
        <v>245</v>
      </c>
      <c r="E135" s="4" t="s">
        <v>59</v>
      </c>
      <c r="F135" s="73">
        <f>G35</f>
        <v>22.203882</v>
      </c>
    </row>
    <row r="136" spans="3:18" x14ac:dyDescent="0.2">
      <c r="D136" s="63" t="s">
        <v>246</v>
      </c>
      <c r="E136" s="4" t="s">
        <v>59</v>
      </c>
      <c r="F136" s="73">
        <f>F135*QperY</f>
        <v>88.815528</v>
      </c>
    </row>
    <row r="137" spans="3:18" x14ac:dyDescent="0.2">
      <c r="D137" s="63" t="s">
        <v>247</v>
      </c>
      <c r="E137" s="4" t="s">
        <v>59</v>
      </c>
      <c r="F137" s="73">
        <f>Historicals!J10/MperB+G42</f>
        <v>34.007067927551077</v>
      </c>
    </row>
    <row r="138" spans="3:18" x14ac:dyDescent="0.2">
      <c r="D138" s="63" t="s">
        <v>248</v>
      </c>
      <c r="E138" s="4" t="s">
        <v>59</v>
      </c>
      <c r="F138" s="73">
        <f>Historicals!J15/MperB+G58</f>
        <v>-1.1377859790716864</v>
      </c>
    </row>
    <row r="141" spans="3:18" x14ac:dyDescent="0.2">
      <c r="D141" s="11" t="s">
        <v>1093</v>
      </c>
    </row>
    <row r="142" spans="3:18" x14ac:dyDescent="0.2">
      <c r="D142" s="36" t="s">
        <v>1094</v>
      </c>
      <c r="E142" s="4" t="s">
        <v>54</v>
      </c>
      <c r="G142" s="75">
        <f>IF('Compute Commitments'!M$11&lt;=Inputs!$K$150,1,MAX(0,1-('Compute Commitments'!M$11-Inputs!$K$150)/(Inputs!$K$137-Inputs!$K$150)))</f>
        <v>1</v>
      </c>
      <c r="H142" s="75">
        <f>IF('Compute Commitments'!N$11&lt;=Inputs!$K$150,1,MAX(0,1-('Compute Commitments'!N$11-Inputs!$K$150)/(Inputs!$K$137-Inputs!$K$150)))</f>
        <v>1</v>
      </c>
      <c r="I142" s="75">
        <f>IF('Compute Commitments'!O$11&lt;=Inputs!$K$150,1,MAX(0,1-('Compute Commitments'!O$11-Inputs!$K$150)/(Inputs!$K$137-Inputs!$K$150)))</f>
        <v>0.8</v>
      </c>
      <c r="J142" s="75">
        <f>IF('Compute Commitments'!P$11&lt;=Inputs!$K$150,1,MAX(0,1-('Compute Commitments'!P$11-Inputs!$K$150)/(Inputs!$K$137-Inputs!$K$150)))</f>
        <v>0.6</v>
      </c>
      <c r="K142" s="75">
        <f>IF('Compute Commitments'!Q$11&lt;=Inputs!$K$150,1,MAX(0,1-('Compute Commitments'!Q$11-Inputs!$K$150)/(Inputs!$K$137-Inputs!$K$150)))</f>
        <v>0.4</v>
      </c>
      <c r="L142" s="75">
        <f>IF('Compute Commitments'!R$11&lt;=Inputs!$K$150,1,MAX(0,1-('Compute Commitments'!R$11-Inputs!$K$150)/(Inputs!$K$137-Inputs!$K$150)))</f>
        <v>0.19999999999999996</v>
      </c>
      <c r="M142" s="75">
        <f>IF('Compute Commitments'!S$11&lt;=Inputs!$K$150,1,MAX(0,1-('Compute Commitments'!S$11-Inputs!$K$150)/(Inputs!$K$137-Inputs!$K$150)))</f>
        <v>0</v>
      </c>
      <c r="N142" s="75">
        <f>IF('Compute Commitments'!T$11&lt;=Inputs!$K$150,1,MAX(0,1-('Compute Commitments'!T$11-Inputs!$K$150)/(Inputs!$K$137-Inputs!$K$150)))</f>
        <v>0</v>
      </c>
      <c r="O142" s="75">
        <f>IF('Compute Commitments'!U$11&lt;=Inputs!$K$150,1,MAX(0,1-('Compute Commitments'!U$11-Inputs!$K$150)/(Inputs!$K$137-Inputs!$K$150)))</f>
        <v>0</v>
      </c>
      <c r="P142" s="75">
        <f>IF('Compute Commitments'!V$11&lt;=Inputs!$K$150,1,MAX(0,1-('Compute Commitments'!V$11-Inputs!$K$150)/(Inputs!$K$137-Inputs!$K$150)))</f>
        <v>0</v>
      </c>
      <c r="Q142" s="75">
        <f>IF('Compute Commitments'!W$11&lt;=Inputs!$K$150,1,MAX(0,1-('Compute Commitments'!W$11-Inputs!$K$150)/(Inputs!$K$137-Inputs!$K$150)))</f>
        <v>0</v>
      </c>
    </row>
    <row r="143" spans="3:18" x14ac:dyDescent="0.2">
      <c r="D143" s="4" t="s">
        <v>1095</v>
      </c>
      <c r="E143" s="4" t="s">
        <v>59</v>
      </c>
      <c r="G143" s="83">
        <f>(1+Inputs!$K$148)^(('Compute Commitments'!M$8+'Compute Commitments'!M$9)/2-(ValDate-(StubQ+0.5)/QperY))*'Compute Commitments'!M$10</f>
        <v>0.27667047992508043</v>
      </c>
      <c r="H143" s="83">
        <f>(1+Inputs!$K$148)^(('Compute Commitments'!N$8+'Compute Commitments'!N$9)/2-(ValDate-(StubQ+0.5)/QperY))*'Compute Commitments'!N$10</f>
        <v>1.425869737431211</v>
      </c>
      <c r="I143" s="83">
        <f>(1+Inputs!$K$148)^(('Compute Commitments'!O$8+'Compute Commitments'!O$9)/2-(ValDate-(StubQ+0.5)/QperY))*'Compute Commitments'!O$10</f>
        <v>2.1388046061468167</v>
      </c>
      <c r="J143" s="83">
        <f>(1+Inputs!$K$148)^(('Compute Commitments'!P$8+'Compute Commitments'!P$9)/2-(ValDate-(StubQ+0.5)/QperY))*'Compute Commitments'!P$10</f>
        <v>3.2082069092202254</v>
      </c>
      <c r="K143" s="83">
        <f>(1+Inputs!$K$148)^(('Compute Commitments'!Q$8+'Compute Commitments'!Q$9)/2-(ValDate-(StubQ+0.5)/QperY))*'Compute Commitments'!Q$10</f>
        <v>4.8123103638303375</v>
      </c>
      <c r="L143" s="83">
        <f>(1+Inputs!$K$148)^(('Compute Commitments'!R$8+'Compute Commitments'!R$9)/2-(ValDate-(StubQ+0.5)/QperY))*'Compute Commitments'!R$10</f>
        <v>7.2184655457455067</v>
      </c>
      <c r="M143" s="83">
        <f>(1+Inputs!$K$148)^(('Compute Commitments'!S$8+'Compute Commitments'!S$9)/2-(ValDate-(StubQ+0.5)/QperY))*'Compute Commitments'!S$10</f>
        <v>10.82769831861826</v>
      </c>
      <c r="N143" s="83">
        <f>(1+Inputs!$K$148)^(('Compute Commitments'!T$8+'Compute Commitments'!T$9)/2-(ValDate-(StubQ+0.5)/QperY))*'Compute Commitments'!T$10</f>
        <v>16.241547477927387</v>
      </c>
      <c r="O143" s="83">
        <f>(1+Inputs!$K$148)^(('Compute Commitments'!U$8+'Compute Commitments'!U$9)/2-(ValDate-(StubQ+0.5)/QperY))*'Compute Commitments'!U$10</f>
        <v>24.362321216891086</v>
      </c>
      <c r="P143" s="83">
        <f>(1+Inputs!$K$148)^(('Compute Commitments'!V$8+'Compute Commitments'!V$9)/2-(ValDate-(StubQ+0.5)/QperY))*'Compute Commitments'!V$10</f>
        <v>36.54348182533662</v>
      </c>
      <c r="Q143" s="83">
        <f>(1+Inputs!$K$148)^(('Compute Commitments'!W$8+'Compute Commitments'!W$9)/2-(ValDate-(StubQ+0.5)/QperY))*'Compute Commitments'!W$10</f>
        <v>54.815222738004941</v>
      </c>
    </row>
    <row r="144" spans="3:18" x14ac:dyDescent="0.2">
      <c r="D144" s="4" t="s">
        <v>1096</v>
      </c>
      <c r="E144" s="4" t="s">
        <v>59</v>
      </c>
      <c r="G144" s="73">
        <f>Inputs!$K$140*Inputs!$K$96*G143</f>
        <v>0.70938311052790626</v>
      </c>
      <c r="H144" s="73">
        <f>Inputs!$K$140*Inputs!$K$96*H143</f>
        <v>3.6559300067736253</v>
      </c>
      <c r="I144" s="73">
        <f>Inputs!$K$140*Inputs!$K$96*I143</f>
        <v>5.4838950101604382</v>
      </c>
      <c r="J144" s="73">
        <f>Inputs!$K$140*Inputs!$K$96*J143</f>
        <v>8.2258425152406573</v>
      </c>
      <c r="K144" s="73">
        <f>Inputs!$K$140*Inputs!$K$96*K143</f>
        <v>12.338763772860986</v>
      </c>
      <c r="L144" s="73">
        <f>Inputs!$K$140*Inputs!$K$96*L143</f>
        <v>18.508145659291479</v>
      </c>
      <c r="M144" s="73">
        <f>Inputs!$K$140*Inputs!$K$96*M143</f>
        <v>27.762218488937222</v>
      </c>
      <c r="N144" s="73">
        <f>Inputs!$K$140*Inputs!$K$96*N143</f>
        <v>41.643327733405819</v>
      </c>
      <c r="O144" s="73">
        <f>Inputs!$K$140*Inputs!$K$96*O143</f>
        <v>62.464991600108746</v>
      </c>
      <c r="P144" s="73">
        <f>Inputs!$K$140*Inputs!$K$96*P143</f>
        <v>93.697487400163098</v>
      </c>
      <c r="Q144" s="73">
        <f>Inputs!$K$140*Inputs!$K$96*Q143</f>
        <v>140.54623110024468</v>
      </c>
    </row>
    <row r="145" spans="4:23" x14ac:dyDescent="0.2">
      <c r="D145" s="4" t="s">
        <v>1097</v>
      </c>
      <c r="E145" s="4" t="s">
        <v>59</v>
      </c>
      <c r="G145" s="73">
        <f>Inputs!$K$142*Inputs!$K$96*G143</f>
        <v>1.1841496540793444</v>
      </c>
      <c r="H145" s="73">
        <f>Inputs!$K$142*Inputs!$K$96*H143</f>
        <v>6.1027224762055834</v>
      </c>
      <c r="I145" s="73">
        <f>Inputs!$K$142*Inputs!$K$96*I143</f>
        <v>9.154083714308376</v>
      </c>
      <c r="J145" s="73">
        <f>Inputs!$K$142*Inputs!$K$96*J143</f>
        <v>13.731125571462565</v>
      </c>
      <c r="K145" s="73">
        <f>Inputs!$K$142*Inputs!$K$96*K143</f>
        <v>20.596688357193845</v>
      </c>
      <c r="L145" s="73">
        <f>Inputs!$K$142*Inputs!$K$96*L143</f>
        <v>30.895032535790769</v>
      </c>
      <c r="M145" s="73">
        <f>Inputs!$K$142*Inputs!$K$96*M143</f>
        <v>46.342548803686157</v>
      </c>
      <c r="N145" s="73">
        <f>Inputs!$K$142*Inputs!$K$96*N143</f>
        <v>69.513823205529221</v>
      </c>
      <c r="O145" s="73">
        <f>Inputs!$K$142*Inputs!$K$96*O143</f>
        <v>104.27073480829385</v>
      </c>
      <c r="P145" s="73">
        <f>Inputs!$K$142*Inputs!$K$96*P143</f>
        <v>156.40610221244074</v>
      </c>
      <c r="Q145" s="73">
        <f>Inputs!$K$142*Inputs!$K$96*Q143</f>
        <v>234.60915331866116</v>
      </c>
    </row>
    <row r="146" spans="4:23" x14ac:dyDescent="0.2">
      <c r="D146" s="4" t="s">
        <v>1098</v>
      </c>
      <c r="E146" s="4" t="s">
        <v>59</v>
      </c>
      <c r="G146" s="73">
        <f>Inputs!$K$146*Inputs!$K$96*G143*Inputs!$K$149</f>
        <v>1.2797090510821807</v>
      </c>
      <c r="H146" s="73">
        <f>Inputs!$K$146*Inputs!$K$96*H143*Inputs!$K$149</f>
        <v>6.5952045521770266</v>
      </c>
      <c r="I146" s="73">
        <f>Inputs!$K$146*Inputs!$K$96*I143*Inputs!$K$149</f>
        <v>9.8928068282655417</v>
      </c>
      <c r="J146" s="73">
        <f>Inputs!$K$146*Inputs!$K$96*J143*Inputs!$K$149</f>
        <v>14.839210242398313</v>
      </c>
      <c r="K146" s="73">
        <f>Inputs!$K$146*Inputs!$K$96*K143*Inputs!$K$149</f>
        <v>22.258815363597467</v>
      </c>
      <c r="L146" s="73">
        <f>Inputs!$K$146*Inputs!$K$96*L143*Inputs!$K$149</f>
        <v>33.388223045396202</v>
      </c>
      <c r="M146" s="73">
        <f>Inputs!$K$146*Inputs!$K$96*M143*Inputs!$K$149</f>
        <v>50.082334568094304</v>
      </c>
      <c r="N146" s="73">
        <f>Inputs!$K$146*Inputs!$K$96*N143*Inputs!$K$149</f>
        <v>75.123501852141445</v>
      </c>
      <c r="O146" s="73">
        <f>Inputs!$K$146*Inputs!$K$96*O143*Inputs!$K$149</f>
        <v>112.68525277821219</v>
      </c>
      <c r="P146" s="73">
        <f>Inputs!$K$146*Inputs!$K$96*P143*Inputs!$K$149</f>
        <v>169.02787916731825</v>
      </c>
      <c r="Q146" s="73">
        <f>Inputs!$K$146*Inputs!$K$96*Q143*Inputs!$K$149</f>
        <v>253.54181875097743</v>
      </c>
    </row>
    <row r="147" spans="4:23" x14ac:dyDescent="0.2">
      <c r="D147" s="4" t="s">
        <v>1099</v>
      </c>
      <c r="E147" s="4" t="s">
        <v>54</v>
      </c>
      <c r="G147" s="75">
        <f>Inputs!$K$146+(($F$18-Inputs!$K$62)-Inputs!$K$146)*MIN(1,'Compute Commitments'!M$11/Inputs!$K$137)</f>
        <v>9.0929280694779555E-2</v>
      </c>
      <c r="H147" s="75">
        <f>Inputs!$K$146+(($F$18-Inputs!$K$62)-Inputs!$K$146)*MIN(1,'Compute Commitments'!N$11/Inputs!$K$137)</f>
        <v>8.4107733912316296E-2</v>
      </c>
      <c r="I147" s="75">
        <f>Inputs!$K$146+(($F$18-Inputs!$K$62)-Inputs!$K$146)*MIN(1,'Compute Commitments'!O$11/Inputs!$K$137)</f>
        <v>7.7286187129853037E-2</v>
      </c>
      <c r="J147" s="75">
        <f>Inputs!$K$146+(($F$18-Inputs!$K$62)-Inputs!$K$146)*MIN(1,'Compute Commitments'!P$11/Inputs!$K$137)</f>
        <v>7.0464640347389779E-2</v>
      </c>
      <c r="K147" s="75">
        <f>Inputs!$K$146+(($F$18-Inputs!$K$62)-Inputs!$K$146)*MIN(1,'Compute Commitments'!Q$11/Inputs!$K$137)</f>
        <v>6.364309356492652E-2</v>
      </c>
      <c r="L147" s="75">
        <f>Inputs!$K$146+(($F$18-Inputs!$K$62)-Inputs!$K$146)*MIN(1,'Compute Commitments'!R$11/Inputs!$K$137)</f>
        <v>5.6821546782463261E-2</v>
      </c>
      <c r="M147" s="75">
        <f>Inputs!$K$146+(($F$18-Inputs!$K$62)-Inputs!$K$146)*MIN(1,'Compute Commitments'!S$11/Inputs!$K$137)</f>
        <v>0.05</v>
      </c>
      <c r="N147" s="75">
        <f>Inputs!$K$146+(($F$18-Inputs!$K$62)-Inputs!$K$146)*MIN(1,'Compute Commitments'!T$11/Inputs!$K$137)</f>
        <v>0.05</v>
      </c>
      <c r="O147" s="75">
        <f>Inputs!$K$146+(($F$18-Inputs!$K$62)-Inputs!$K$146)*MIN(1,'Compute Commitments'!U$11/Inputs!$K$137)</f>
        <v>0.05</v>
      </c>
      <c r="P147" s="75">
        <f>Inputs!$K$146+(($F$18-Inputs!$K$62)-Inputs!$K$146)*MIN(1,'Compute Commitments'!V$11/Inputs!$K$137)</f>
        <v>0.05</v>
      </c>
      <c r="Q147" s="75">
        <f>Inputs!$K$146+(($F$18-Inputs!$K$62)-Inputs!$K$146)*MIN(1,'Compute Commitments'!W$11/Inputs!$K$137)</f>
        <v>0.05</v>
      </c>
    </row>
    <row r="148" spans="4:23" x14ac:dyDescent="0.2">
      <c r="D148" s="4" t="s">
        <v>1100</v>
      </c>
      <c r="E148" s="4" t="s">
        <v>59</v>
      </c>
      <c r="G148" s="73">
        <f t="shared" ref="G148:Q148" si="43">G142*(G144+G145+G146)</f>
        <v>3.1732418156894315</v>
      </c>
      <c r="H148" s="73">
        <f t="shared" si="43"/>
        <v>16.353857035156235</v>
      </c>
      <c r="I148" s="73">
        <f t="shared" si="43"/>
        <v>19.624628442187486</v>
      </c>
      <c r="J148" s="73">
        <f t="shared" si="43"/>
        <v>22.077706997460922</v>
      </c>
      <c r="K148" s="73">
        <f t="shared" si="43"/>
        <v>22.077706997460918</v>
      </c>
      <c r="L148" s="73">
        <f t="shared" si="43"/>
        <v>16.558280248095688</v>
      </c>
      <c r="M148" s="73">
        <f t="shared" si="43"/>
        <v>0</v>
      </c>
      <c r="N148" s="73">
        <f t="shared" si="43"/>
        <v>0</v>
      </c>
      <c r="O148" s="73">
        <f t="shared" si="43"/>
        <v>0</v>
      </c>
      <c r="P148" s="73">
        <f t="shared" si="43"/>
        <v>0</v>
      </c>
      <c r="Q148" s="73">
        <f t="shared" si="43"/>
        <v>0</v>
      </c>
    </row>
    <row r="149" spans="4:23" ht="25.5" x14ac:dyDescent="0.2">
      <c r="D149" s="36" t="s">
        <v>1101</v>
      </c>
      <c r="E149" s="4" t="s">
        <v>54</v>
      </c>
      <c r="G149" s="75">
        <f t="shared" ref="G149:Q149" si="44">(G46+G48+G50+G52+G54-G148)/G35</f>
        <v>0.1670589960724515</v>
      </c>
      <c r="H149" s="75">
        <f t="shared" si="44"/>
        <v>0.16995178972877079</v>
      </c>
      <c r="I149" s="75">
        <f t="shared" si="44"/>
        <v>0.20112144314423469</v>
      </c>
      <c r="J149" s="75">
        <f t="shared" si="44"/>
        <v>0.2284473975642978</v>
      </c>
      <c r="K149" s="75">
        <f t="shared" si="44"/>
        <v>0.25410559346791534</v>
      </c>
      <c r="L149" s="75">
        <f t="shared" si="44"/>
        <v>0.27892308732602639</v>
      </c>
      <c r="M149" s="75">
        <f t="shared" si="44"/>
        <v>0.30327024355864302</v>
      </c>
      <c r="N149" s="75">
        <f t="shared" si="44"/>
        <v>0.30376927586188851</v>
      </c>
      <c r="O149" s="75">
        <f t="shared" si="44"/>
        <v>0.30413299734041854</v>
      </c>
      <c r="P149" s="75">
        <f t="shared" si="44"/>
        <v>0.30440465782352805</v>
      </c>
      <c r="Q149" s="75">
        <f t="shared" si="44"/>
        <v>0.30461141972800998</v>
      </c>
    </row>
    <row r="151" spans="4:23" x14ac:dyDescent="0.2">
      <c r="D151" s="11" t="s">
        <v>1969</v>
      </c>
    </row>
    <row r="152" spans="4:23" x14ac:dyDescent="0.2">
      <c r="D152" s="4" t="s">
        <v>1425</v>
      </c>
      <c r="E152" s="4" t="s">
        <v>54</v>
      </c>
      <c r="G152" s="145">
        <f>Inputs!$K$160+($F$17-Inputs!$K$160)*MIN(1,'Compute Commitments'!M$11/Inputs!$K$137)</f>
        <v>0.15826501027242712</v>
      </c>
      <c r="H152" s="145">
        <f>Inputs!$K$160+($F$17-Inputs!$K$160)*MIN(1,'Compute Commitments'!N$11/Inputs!$K$137)</f>
        <v>0.15105417522702261</v>
      </c>
      <c r="I152" s="145">
        <f>Inputs!$K$160+($F$17-Inputs!$K$160)*MIN(1,'Compute Commitments'!O$11/Inputs!$K$137)</f>
        <v>0.1438433401816181</v>
      </c>
      <c r="J152" s="145">
        <f>Inputs!$K$160+($F$17-Inputs!$K$160)*MIN(1,'Compute Commitments'!P$11/Inputs!$K$137)</f>
        <v>0.13663250513621356</v>
      </c>
      <c r="K152" s="145">
        <f>Inputs!$K$160+($F$17-Inputs!$K$160)*MIN(1,'Compute Commitments'!Q$11/Inputs!$K$137)</f>
        <v>0.12942167009080904</v>
      </c>
      <c r="L152" s="145">
        <f>Inputs!$K$160+($F$17-Inputs!$K$160)*MIN(1,'Compute Commitments'!R$11/Inputs!$K$137)</f>
        <v>0.12221083504540453</v>
      </c>
      <c r="M152" s="145">
        <f>Inputs!$K$160+($F$17-Inputs!$K$160)*MIN(1,'Compute Commitments'!S$11/Inputs!$K$137)</f>
        <v>0.115</v>
      </c>
      <c r="N152" s="145">
        <f>Inputs!$K$160+($F$17-Inputs!$K$160)*MIN(1,'Compute Commitments'!T$11/Inputs!$K$137)</f>
        <v>0.115</v>
      </c>
      <c r="O152" s="145">
        <f>Inputs!$K$160+($F$17-Inputs!$K$160)*MIN(1,'Compute Commitments'!U$11/Inputs!$K$137)</f>
        <v>0.115</v>
      </c>
      <c r="P152" s="145">
        <f>Inputs!$K$160+($F$17-Inputs!$K$160)*MIN(1,'Compute Commitments'!V$11/Inputs!$K$137)</f>
        <v>0.115</v>
      </c>
      <c r="Q152" s="145">
        <f>Inputs!$K$160+($F$17-Inputs!$K$160)*MIN(1,'Compute Commitments'!W$11/Inputs!$K$137)</f>
        <v>0.115</v>
      </c>
      <c r="R152" s="64"/>
      <c r="S152" s="64"/>
      <c r="T152" s="64"/>
      <c r="U152" s="64"/>
      <c r="V152" s="64"/>
      <c r="W152" s="64"/>
    </row>
    <row r="153" spans="4:23" x14ac:dyDescent="0.2">
      <c r="D153" s="4" t="s">
        <v>1426</v>
      </c>
      <c r="E153" s="4" t="s">
        <v>54</v>
      </c>
      <c r="G153" s="105">
        <f>Inputs!$K$159+(Inputs!$K$164-Inputs!$K$159)*MIN(1,'Compute Commitments'!M$11/Inputs!$K$137)</f>
        <v>1.4E-2</v>
      </c>
      <c r="H153" s="105">
        <f>Inputs!$K$159+(Inputs!$K$164-Inputs!$K$159)*MIN(1,'Compute Commitments'!N$11/Inputs!$K$137)</f>
        <v>1.4E-2</v>
      </c>
      <c r="I153" s="105">
        <f>Inputs!$K$159+(Inputs!$K$164-Inputs!$K$159)*MIN(1,'Compute Commitments'!O$11/Inputs!$K$137)</f>
        <v>1.4E-2</v>
      </c>
      <c r="J153" s="105">
        <f>Inputs!$K$159+(Inputs!$K$164-Inputs!$K$159)*MIN(1,'Compute Commitments'!P$11/Inputs!$K$137)</f>
        <v>1.4E-2</v>
      </c>
      <c r="K153" s="105">
        <f>Inputs!$K$159+(Inputs!$K$164-Inputs!$K$159)*MIN(1,'Compute Commitments'!Q$11/Inputs!$K$137)</f>
        <v>1.4E-2</v>
      </c>
      <c r="L153" s="105">
        <f>Inputs!$K$159+(Inputs!$K$164-Inputs!$K$159)*MIN(1,'Compute Commitments'!R$11/Inputs!$K$137)</f>
        <v>1.4E-2</v>
      </c>
      <c r="M153" s="105">
        <f>Inputs!$K$159+(Inputs!$K$164-Inputs!$K$159)*MIN(1,'Compute Commitments'!S$11/Inputs!$K$137)</f>
        <v>1.4E-2</v>
      </c>
      <c r="N153" s="105">
        <f>Inputs!$K$159+(Inputs!$K$164-Inputs!$K$159)*MIN(1,'Compute Commitments'!T$11/Inputs!$K$137)</f>
        <v>1.4E-2</v>
      </c>
      <c r="O153" s="105">
        <f>Inputs!$K$159+(Inputs!$K$164-Inputs!$K$159)*MIN(1,'Compute Commitments'!U$11/Inputs!$K$137)</f>
        <v>1.4E-2</v>
      </c>
      <c r="P153" s="105">
        <f>Inputs!$K$159+(Inputs!$K$164-Inputs!$K$159)*MIN(1,'Compute Commitments'!V$11/Inputs!$K$137)</f>
        <v>1.4E-2</v>
      </c>
      <c r="Q153" s="105">
        <f>Inputs!$K$159+(Inputs!$K$164-Inputs!$K$159)*MIN(1,'Compute Commitments'!W$11/Inputs!$K$137)</f>
        <v>1.4E-2</v>
      </c>
      <c r="R153" s="4"/>
      <c r="S153" s="4"/>
      <c r="T153" s="4"/>
      <c r="U153" s="4"/>
      <c r="V153" s="4"/>
      <c r="W153" s="4"/>
    </row>
    <row r="154" spans="4:23" x14ac:dyDescent="0.2">
      <c r="D154" s="4" t="s">
        <v>1427</v>
      </c>
      <c r="E154" s="4" t="s">
        <v>59</v>
      </c>
      <c r="F154" s="18"/>
      <c r="G154" s="73">
        <f t="shared" ref="G154:Q154" si="45">G111*G152</f>
        <v>2.7808751519999997</v>
      </c>
      <c r="H154" s="73">
        <f t="shared" si="45"/>
        <v>16.385980890661628</v>
      </c>
      <c r="I154" s="73">
        <f t="shared" si="45"/>
        <v>25.118622613006217</v>
      </c>
      <c r="J154" s="73">
        <f t="shared" si="45"/>
        <v>33.480459939808604</v>
      </c>
      <c r="K154" s="73">
        <f t="shared" si="45"/>
        <v>40.981060712810191</v>
      </c>
      <c r="L154" s="73">
        <f t="shared" si="45"/>
        <v>47.363159985900168</v>
      </c>
      <c r="M154" s="73">
        <f t="shared" si="45"/>
        <v>52.517980235658392</v>
      </c>
      <c r="N154" s="73">
        <f t="shared" si="45"/>
        <v>60.20237614678264</v>
      </c>
      <c r="O154" s="73">
        <f t="shared" si="45"/>
        <v>67.603665992375994</v>
      </c>
      <c r="P154" s="73">
        <f t="shared" si="45"/>
        <v>74.730835210087648</v>
      </c>
      <c r="Q154" s="73">
        <f t="shared" si="45"/>
        <v>81.609465517797275</v>
      </c>
      <c r="R154" s="75"/>
      <c r="S154" s="75"/>
      <c r="T154" s="75"/>
      <c r="U154" s="75"/>
      <c r="V154" s="75"/>
      <c r="W154" s="75"/>
    </row>
    <row r="155" spans="4:23" x14ac:dyDescent="0.2">
      <c r="D155" s="4"/>
      <c r="G155" s="73"/>
      <c r="H155" s="73"/>
      <c r="I155" s="73"/>
      <c r="J155" s="73"/>
      <c r="K155" s="73"/>
      <c r="L155" s="73"/>
      <c r="M155" s="73"/>
      <c r="N155" s="73"/>
      <c r="O155" s="73"/>
      <c r="P155" s="73"/>
      <c r="Q155" s="73"/>
      <c r="R155" s="73"/>
      <c r="S155" s="73"/>
      <c r="T155" s="73"/>
      <c r="U155" s="73"/>
      <c r="V155" s="73"/>
      <c r="W155" s="73"/>
    </row>
    <row r="156" spans="4:23" x14ac:dyDescent="0.2">
      <c r="D156" s="4"/>
      <c r="F156" s="216"/>
    </row>
    <row r="157" spans="4:23" x14ac:dyDescent="0.2">
      <c r="D157" s="4"/>
    </row>
    <row r="158" spans="4:23" x14ac:dyDescent="0.2">
      <c r="D158" s="4"/>
      <c r="H158" s="75"/>
      <c r="I158" s="75"/>
      <c r="J158" s="75"/>
      <c r="K158" s="75"/>
      <c r="L158" s="75"/>
      <c r="M158" s="75"/>
      <c r="N158" s="75"/>
      <c r="O158" s="75"/>
      <c r="P158" s="75"/>
      <c r="Q158" s="75"/>
      <c r="R158" s="75"/>
      <c r="S158" s="75"/>
      <c r="T158" s="75"/>
      <c r="U158" s="75"/>
      <c r="V158" s="75"/>
      <c r="W158" s="75"/>
    </row>
    <row r="159" spans="4:23" ht="25.5" x14ac:dyDescent="0.2">
      <c r="D159" s="36" t="s">
        <v>1457</v>
      </c>
      <c r="E159" s="4" t="s">
        <v>54</v>
      </c>
      <c r="H159" s="75">
        <f>$F$24+(N(dt_Case)=Sensitivities!$M$51)*(Inputs!$K$178-Inputs!$K$177)*Inputs!$K$176*MAX(0,MIN(1,(Inputs!$K$180-ROUNDDOWN('Compute Commitments'!N$8,0))/(Inputs!$K$180-Inputs!$K$179)))</f>
        <v>9.69E-2</v>
      </c>
      <c r="I159" s="75">
        <f>$F$24+(N(dt_Case)=Sensitivities!$M$51)*(Inputs!$K$178-Inputs!$K$177)*Inputs!$K$176*MAX(0,MIN(1,(Inputs!$K$180-ROUNDDOWN('Compute Commitments'!O$8,0))/(Inputs!$K$180-Inputs!$K$179)))</f>
        <v>9.69E-2</v>
      </c>
      <c r="J159" s="75">
        <f>$F$24+(N(dt_Case)=Sensitivities!$M$51)*(Inputs!$K$178-Inputs!$K$177)*Inputs!$K$176*MAX(0,MIN(1,(Inputs!$K$180-ROUNDDOWN('Compute Commitments'!P$8,0))/(Inputs!$K$180-Inputs!$K$179)))</f>
        <v>9.69E-2</v>
      </c>
      <c r="K159" s="75">
        <f>$F$24+(N(dt_Case)=Sensitivities!$M$51)*(Inputs!$K$178-Inputs!$K$177)*Inputs!$K$176*MAX(0,MIN(1,(Inputs!$K$180-ROUNDDOWN('Compute Commitments'!Q$8,0))/(Inputs!$K$180-Inputs!$K$179)))</f>
        <v>9.69E-2</v>
      </c>
      <c r="L159" s="75">
        <f>$F$24+(N(dt_Case)=Sensitivities!$M$51)*(Inputs!$K$178-Inputs!$K$177)*Inputs!$K$176*MAX(0,MIN(1,(Inputs!$K$180-ROUNDDOWN('Compute Commitments'!R$8,0))/(Inputs!$K$180-Inputs!$K$179)))</f>
        <v>9.69E-2</v>
      </c>
      <c r="M159" s="75">
        <f>$F$24+(N(dt_Case)=Sensitivities!$M$51)*(Inputs!$K$178-Inputs!$K$177)*Inputs!$K$176*MAX(0,MIN(1,(Inputs!$K$180-ROUNDDOWN('Compute Commitments'!S$8,0))/(Inputs!$K$180-Inputs!$K$179)))</f>
        <v>9.69E-2</v>
      </c>
      <c r="N159" s="75">
        <f>$F$24+(N(dt_Case)=Sensitivities!$M$51)*(Inputs!$K$178-Inputs!$K$177)*Inputs!$K$176*MAX(0,MIN(1,(Inputs!$K$180-ROUNDDOWN('Compute Commitments'!T$8,0))/(Inputs!$K$180-Inputs!$K$179)))</f>
        <v>9.69E-2</v>
      </c>
      <c r="O159" s="75">
        <f>$F$24+(N(dt_Case)=Sensitivities!$M$51)*(Inputs!$K$178-Inputs!$K$177)*Inputs!$K$176*MAX(0,MIN(1,(Inputs!$K$180-ROUNDDOWN('Compute Commitments'!U$8,0))/(Inputs!$K$180-Inputs!$K$179)))</f>
        <v>9.69E-2</v>
      </c>
      <c r="P159" s="75">
        <f>$F$24+(N(dt_Case)=Sensitivities!$M$51)*(Inputs!$K$178-Inputs!$K$177)*Inputs!$K$176*MAX(0,MIN(1,(Inputs!$K$180-ROUNDDOWN('Compute Commitments'!V$8,0))/(Inputs!$K$180-Inputs!$K$179)))</f>
        <v>9.69E-2</v>
      </c>
      <c r="Q159" s="75">
        <f>$F$24+(N(dt_Case)=Sensitivities!$M$51)*(Inputs!$K$178-Inputs!$K$177)*Inputs!$K$176*MAX(0,MIN(1,(Inputs!$K$180-ROUNDDOWN('Compute Commitments'!W$8,0))/(Inputs!$K$180-Inputs!$K$179)))</f>
        <v>9.69E-2</v>
      </c>
    </row>
    <row r="160" spans="4:23" x14ac:dyDescent="0.2">
      <c r="D160" s="4" t="s">
        <v>1124</v>
      </c>
      <c r="E160" s="4" t="s">
        <v>59</v>
      </c>
      <c r="G160" s="217">
        <v>1</v>
      </c>
      <c r="H160" s="92">
        <f>G160/(1+H159)^'Compute Commitments'!N$10</f>
        <v>0.91166013310237948</v>
      </c>
      <c r="I160" s="92">
        <f>H160/(1+I159)^'Compute Commitments'!O$10</f>
        <v>0.83112419828824824</v>
      </c>
      <c r="J160" s="92">
        <f>I160/(1+J159)^'Compute Commitments'!P$10</f>
        <v>0.75770279723607281</v>
      </c>
      <c r="K160" s="92">
        <f>J160/(1+K159)^'Compute Commitments'!Q$10</f>
        <v>0.69076743298028331</v>
      </c>
      <c r="L160" s="92">
        <f>K160/(1+L159)^'Compute Commitments'!R$10</f>
        <v>0.6297451298935941</v>
      </c>
      <c r="M160" s="92">
        <f>L160/(1+M159)^'Compute Commitments'!S$10</f>
        <v>0.57411352893936918</v>
      </c>
      <c r="N160" s="92">
        <f>M160/(1+N159)^'Compute Commitments'!T$10</f>
        <v>0.52339641620874211</v>
      </c>
      <c r="O160" s="92">
        <f>N160/(1+O159)^'Compute Commitments'!U$10</f>
        <v>0.47715964646617021</v>
      </c>
      <c r="P160" s="92">
        <f>O160/(1+P159)^'Compute Commitments'!V$10</f>
        <v>0.43500742680843307</v>
      </c>
      <c r="Q160" s="92">
        <f>P160/(1+Q159)^'Compute Commitments'!W$10</f>
        <v>0.39657892862469968</v>
      </c>
    </row>
    <row r="162" spans="2:17" x14ac:dyDescent="0.2">
      <c r="B162" s="5" t="s">
        <v>8</v>
      </c>
      <c r="C162" s="5" t="s">
        <v>8</v>
      </c>
      <c r="D162" s="6" t="s">
        <v>2028</v>
      </c>
      <c r="E162" s="95"/>
      <c r="F162" s="95"/>
      <c r="G162" s="95"/>
      <c r="H162" s="95"/>
      <c r="I162" s="95"/>
      <c r="J162" s="95"/>
      <c r="K162" s="95"/>
      <c r="L162" s="95"/>
      <c r="M162" s="95"/>
      <c r="N162" s="95"/>
      <c r="O162" s="95"/>
      <c r="P162" s="95"/>
      <c r="Q162" s="95"/>
    </row>
    <row r="163" spans="2:17" x14ac:dyDescent="0.2">
      <c r="D163" s="11" t="s">
        <v>265</v>
      </c>
      <c r="E163" s="11"/>
      <c r="F163" s="11"/>
      <c r="G163" s="11"/>
      <c r="H163" s="64" t="str">
        <f t="shared" ref="H163:Q163" si="46">H$33</f>
        <v>2027F</v>
      </c>
      <c r="I163" s="64" t="str">
        <f t="shared" si="46"/>
        <v>2028F</v>
      </c>
      <c r="J163" s="64" t="str">
        <f t="shared" si="46"/>
        <v>2029F</v>
      </c>
      <c r="K163" s="64" t="str">
        <f t="shared" si="46"/>
        <v>2030F</v>
      </c>
      <c r="L163" s="64" t="str">
        <f t="shared" si="46"/>
        <v>2031F</v>
      </c>
      <c r="M163" s="64" t="str">
        <f t="shared" si="46"/>
        <v>2032F</v>
      </c>
      <c r="N163" s="64" t="str">
        <f t="shared" si="46"/>
        <v>2033F</v>
      </c>
      <c r="O163" s="64" t="str">
        <f t="shared" si="46"/>
        <v>2034F</v>
      </c>
      <c r="P163" s="64" t="str">
        <f t="shared" si="46"/>
        <v>2035F</v>
      </c>
      <c r="Q163" s="64" t="str">
        <f t="shared" si="46"/>
        <v>2036F</v>
      </c>
    </row>
    <row r="164" spans="2:17" x14ac:dyDescent="0.2">
      <c r="D164" s="4" t="s">
        <v>1523</v>
      </c>
      <c r="E164" s="4" t="s">
        <v>51</v>
      </c>
      <c r="H164" s="110">
        <f>'Revenue Engine'!G92</f>
        <v>37.32266666666667</v>
      </c>
      <c r="I164" s="110">
        <f>'Revenue Engine'!H92</f>
        <v>59.716266666666677</v>
      </c>
      <c r="J164" s="110">
        <f>'Revenue Engine'!I92</f>
        <v>78.028293363987459</v>
      </c>
      <c r="K164" s="110">
        <f>'Revenue Engine'!J92</f>
        <v>94.78166769283817</v>
      </c>
      <c r="L164" s="110">
        <f>'Revenue Engine'!K92</f>
        <v>109.42412273245886</v>
      </c>
      <c r="M164" s="110">
        <f>'Revenue Engine'!L92</f>
        <v>121.71058077121667</v>
      </c>
      <c r="N164" s="110">
        <f>'Revenue Engine'!M92</f>
        <v>131.58591743415047</v>
      </c>
      <c r="O164" s="110">
        <f>'Revenue Engine'!N92</f>
        <v>139.10585013112774</v>
      </c>
      <c r="P164" s="110">
        <f>'Revenue Engine'!O92</f>
        <v>144.38453072237476</v>
      </c>
      <c r="Q164" s="110">
        <f>'Revenue Engine'!P92</f>
        <v>147.56065100415933</v>
      </c>
    </row>
    <row r="165" spans="2:17" x14ac:dyDescent="0.2">
      <c r="D165" s="4" t="s">
        <v>1524</v>
      </c>
      <c r="E165" s="4" t="s">
        <v>51</v>
      </c>
      <c r="H165" s="110">
        <f>'Revenue Engine'!G86</f>
        <v>37.32266666666667</v>
      </c>
      <c r="I165" s="110">
        <f>'Revenue Engine'!H86</f>
        <v>59.716266666666677</v>
      </c>
      <c r="J165" s="110">
        <f>'Revenue Engine'!I86</f>
        <v>78.028293363987459</v>
      </c>
      <c r="K165" s="110">
        <f>'Revenue Engine'!J86</f>
        <v>94.78166769283817</v>
      </c>
      <c r="L165" s="110">
        <f>'Revenue Engine'!K86</f>
        <v>109.42412273245886</v>
      </c>
      <c r="M165" s="110">
        <f>'Revenue Engine'!L86</f>
        <v>121.71058077121667</v>
      </c>
      <c r="N165" s="110">
        <f>'Revenue Engine'!M86</f>
        <v>131.58591743415047</v>
      </c>
      <c r="O165" s="110">
        <f>'Revenue Engine'!N86</f>
        <v>139.10585013112774</v>
      </c>
      <c r="P165" s="110">
        <f>'Revenue Engine'!O86</f>
        <v>144.38453072237476</v>
      </c>
      <c r="Q165" s="110">
        <f>'Revenue Engine'!P86</f>
        <v>147.56065100415933</v>
      </c>
    </row>
    <row r="166" spans="2:17" x14ac:dyDescent="0.2">
      <c r="D166" s="4" t="s">
        <v>1525</v>
      </c>
      <c r="E166" s="4" t="s">
        <v>51</v>
      </c>
      <c r="H166" s="97">
        <f t="shared" ref="H166:Q166" si="47">H164-H165</f>
        <v>0</v>
      </c>
      <c r="I166" s="97">
        <f t="shared" si="47"/>
        <v>0</v>
      </c>
      <c r="J166" s="97">
        <f t="shared" si="47"/>
        <v>0</v>
      </c>
      <c r="K166" s="97">
        <f t="shared" si="47"/>
        <v>0</v>
      </c>
      <c r="L166" s="97">
        <f t="shared" si="47"/>
        <v>0</v>
      </c>
      <c r="M166" s="97">
        <f t="shared" si="47"/>
        <v>0</v>
      </c>
      <c r="N166" s="97">
        <f t="shared" si="47"/>
        <v>0</v>
      </c>
      <c r="O166" s="97">
        <f t="shared" si="47"/>
        <v>0</v>
      </c>
      <c r="P166" s="97">
        <f t="shared" si="47"/>
        <v>0</v>
      </c>
      <c r="Q166" s="97">
        <f t="shared" si="47"/>
        <v>0</v>
      </c>
    </row>
    <row r="167" spans="2:17" ht="25.5" x14ac:dyDescent="0.2">
      <c r="D167" s="36" t="s">
        <v>1526</v>
      </c>
      <c r="E167" s="4" t="s">
        <v>51</v>
      </c>
      <c r="H167" s="97">
        <f t="shared" ref="H167:Q167" si="48">MAX(H40+H166,H41)</f>
        <v>79.710756160917683</v>
      </c>
      <c r="I167" s="97">
        <f t="shared" si="48"/>
        <v>105.96184116050772</v>
      </c>
      <c r="J167" s="97">
        <f t="shared" si="48"/>
        <v>128.52113907332361</v>
      </c>
      <c r="K167" s="97">
        <f t="shared" si="48"/>
        <v>164.32080614126093</v>
      </c>
      <c r="L167" s="97">
        <f t="shared" si="48"/>
        <v>200.16732581130191</v>
      </c>
      <c r="M167" s="97">
        <f t="shared" si="48"/>
        <v>235.53636127008696</v>
      </c>
      <c r="N167" s="97">
        <f t="shared" si="48"/>
        <v>261.6010290326002</v>
      </c>
      <c r="O167" s="97">
        <f t="shared" si="48"/>
        <v>284.74346860074195</v>
      </c>
      <c r="P167" s="97">
        <f t="shared" si="48"/>
        <v>305.09079335612591</v>
      </c>
      <c r="Q167" s="97">
        <f t="shared" si="48"/>
        <v>322.83105503059312</v>
      </c>
    </row>
    <row r="168" spans="2:17" x14ac:dyDescent="0.2">
      <c r="D168" s="4" t="s">
        <v>1527</v>
      </c>
      <c r="E168" s="4" t="s">
        <v>51</v>
      </c>
      <c r="H168" s="97">
        <f t="shared" ref="H168:Q168" si="49">H167-MAX(H40,H41)</f>
        <v>0</v>
      </c>
      <c r="I168" s="97">
        <f t="shared" si="49"/>
        <v>0</v>
      </c>
      <c r="J168" s="97">
        <f t="shared" si="49"/>
        <v>0</v>
      </c>
      <c r="K168" s="97">
        <f t="shared" si="49"/>
        <v>0</v>
      </c>
      <c r="L168" s="97">
        <f t="shared" si="49"/>
        <v>0</v>
      </c>
      <c r="M168" s="97">
        <f t="shared" si="49"/>
        <v>0</v>
      </c>
      <c r="N168" s="97">
        <f t="shared" si="49"/>
        <v>0</v>
      </c>
      <c r="O168" s="97">
        <f t="shared" si="49"/>
        <v>0</v>
      </c>
      <c r="P168" s="97">
        <f t="shared" si="49"/>
        <v>0</v>
      </c>
      <c r="Q168" s="97">
        <f t="shared" si="49"/>
        <v>0</v>
      </c>
    </row>
    <row r="169" spans="2:17" x14ac:dyDescent="0.2">
      <c r="D169" s="4" t="s">
        <v>1528</v>
      </c>
      <c r="E169" s="4" t="s">
        <v>51</v>
      </c>
      <c r="H169" s="97">
        <f t="shared" ref="H169:Q169" si="50">H166-H168</f>
        <v>0</v>
      </c>
      <c r="I169" s="97">
        <f t="shared" si="50"/>
        <v>0</v>
      </c>
      <c r="J169" s="97">
        <f t="shared" si="50"/>
        <v>0</v>
      </c>
      <c r="K169" s="97">
        <f t="shared" si="50"/>
        <v>0</v>
      </c>
      <c r="L169" s="97">
        <f t="shared" si="50"/>
        <v>0</v>
      </c>
      <c r="M169" s="97">
        <f t="shared" si="50"/>
        <v>0</v>
      </c>
      <c r="N169" s="97">
        <f t="shared" si="50"/>
        <v>0</v>
      </c>
      <c r="O169" s="97">
        <f t="shared" si="50"/>
        <v>0</v>
      </c>
      <c r="P169" s="97">
        <f t="shared" si="50"/>
        <v>0</v>
      </c>
      <c r="Q169" s="97">
        <f t="shared" si="50"/>
        <v>0</v>
      </c>
    </row>
    <row r="170" spans="2:17" x14ac:dyDescent="0.2">
      <c r="D170" s="4" t="s">
        <v>1529</v>
      </c>
      <c r="E170" s="4" t="s">
        <v>59</v>
      </c>
      <c r="H170" s="107">
        <f t="shared" ref="H170:Q170" si="51">N(G170)+(H40&gt;H41)*1</f>
        <v>0</v>
      </c>
      <c r="I170" s="107">
        <f t="shared" si="51"/>
        <v>0</v>
      </c>
      <c r="J170" s="107">
        <f t="shared" si="51"/>
        <v>1</v>
      </c>
      <c r="K170" s="107">
        <f t="shared" si="51"/>
        <v>2</v>
      </c>
      <c r="L170" s="107">
        <f t="shared" si="51"/>
        <v>3</v>
      </c>
      <c r="M170" s="107">
        <f t="shared" si="51"/>
        <v>4</v>
      </c>
      <c r="N170" s="107">
        <f t="shared" si="51"/>
        <v>5</v>
      </c>
      <c r="O170" s="107">
        <f t="shared" si="51"/>
        <v>6</v>
      </c>
      <c r="P170" s="107">
        <f t="shared" si="51"/>
        <v>7</v>
      </c>
      <c r="Q170" s="107">
        <f t="shared" si="51"/>
        <v>8</v>
      </c>
    </row>
    <row r="171" spans="2:17" x14ac:dyDescent="0.2">
      <c r="D171" s="4" t="s">
        <v>1530</v>
      </c>
      <c r="E171" s="4" t="s">
        <v>54</v>
      </c>
      <c r="H171" s="102">
        <f>Inputs!$K$59*MIN(1,H170/Inputs!$K$60)</f>
        <v>0</v>
      </c>
      <c r="I171" s="102">
        <f>Inputs!$K$59*MIN(1,I170/Inputs!$K$60)</f>
        <v>0</v>
      </c>
      <c r="J171" s="102">
        <f>Inputs!$K$59*MIN(1,J170/Inputs!$K$60)</f>
        <v>0</v>
      </c>
      <c r="K171" s="102">
        <f>Inputs!$K$59*MIN(1,K170/Inputs!$K$60)</f>
        <v>0</v>
      </c>
      <c r="L171" s="102">
        <f>Inputs!$K$59*MIN(1,L170/Inputs!$K$60)</f>
        <v>0</v>
      </c>
      <c r="M171" s="102">
        <f>Inputs!$K$59*MIN(1,M170/Inputs!$K$60)</f>
        <v>0</v>
      </c>
      <c r="N171" s="102">
        <f>Inputs!$K$59*MIN(1,N170/Inputs!$K$60)</f>
        <v>0</v>
      </c>
      <c r="O171" s="102">
        <f>Inputs!$K$59*MIN(1,O170/Inputs!$K$60)</f>
        <v>0</v>
      </c>
      <c r="P171" s="102">
        <f>Inputs!$K$59*MIN(1,P170/Inputs!$K$60)</f>
        <v>0</v>
      </c>
      <c r="Q171" s="102">
        <f>Inputs!$K$59*MIN(1,Q170/Inputs!$K$60)</f>
        <v>0</v>
      </c>
    </row>
    <row r="172" spans="2:17" x14ac:dyDescent="0.2">
      <c r="D172" s="4" t="s">
        <v>1531</v>
      </c>
      <c r="E172" s="4" t="s">
        <v>51</v>
      </c>
      <c r="H172" s="97">
        <f t="shared" ref="H172:Q172" si="52">MAX(0,H40-H41)</f>
        <v>0</v>
      </c>
      <c r="I172" s="97">
        <f t="shared" si="52"/>
        <v>0</v>
      </c>
      <c r="J172" s="97">
        <f t="shared" si="52"/>
        <v>5.2763123743440588</v>
      </c>
      <c r="K172" s="97">
        <f t="shared" si="52"/>
        <v>30.93813743062114</v>
      </c>
      <c r="L172" s="97">
        <f t="shared" si="52"/>
        <v>70.460258490229933</v>
      </c>
      <c r="M172" s="97">
        <f t="shared" si="52"/>
        <v>127.01454037552735</v>
      </c>
      <c r="N172" s="97">
        <f t="shared" si="52"/>
        <v>187.03525120638716</v>
      </c>
      <c r="O172" s="97">
        <f t="shared" si="52"/>
        <v>229.25273976310379</v>
      </c>
      <c r="P172" s="97">
        <f t="shared" si="52"/>
        <v>274.60006451848773</v>
      </c>
      <c r="Q172" s="97">
        <f t="shared" si="52"/>
        <v>300.52921508184471</v>
      </c>
    </row>
    <row r="173" spans="2:17" x14ac:dyDescent="0.2">
      <c r="D173" s="4" t="s">
        <v>1532</v>
      </c>
      <c r="E173" s="4" t="s">
        <v>51</v>
      </c>
      <c r="H173" s="97">
        <f>H172*H171*Inputs!$K$61</f>
        <v>0</v>
      </c>
      <c r="I173" s="97">
        <f>I172*I171*Inputs!$K$61</f>
        <v>0</v>
      </c>
      <c r="J173" s="97">
        <f>J172*J171*Inputs!$K$61</f>
        <v>0</v>
      </c>
      <c r="K173" s="97">
        <f>K172*K171*Inputs!$K$61</f>
        <v>0</v>
      </c>
      <c r="L173" s="97">
        <f>L172*L171*Inputs!$K$61</f>
        <v>0</v>
      </c>
      <c r="M173" s="97">
        <f>M172*M171*Inputs!$K$61</f>
        <v>0</v>
      </c>
      <c r="N173" s="97">
        <f>N172*N171*Inputs!$K$61</f>
        <v>0</v>
      </c>
      <c r="O173" s="97">
        <f>O172*O171*Inputs!$K$61</f>
        <v>0</v>
      </c>
      <c r="P173" s="97">
        <f>P172*P171*Inputs!$K$61</f>
        <v>0</v>
      </c>
      <c r="Q173" s="97">
        <f>Q172*Q171*Inputs!$K$61</f>
        <v>0</v>
      </c>
    </row>
    <row r="174" spans="2:17" x14ac:dyDescent="0.2">
      <c r="D174" s="36" t="s">
        <v>1533</v>
      </c>
      <c r="E174" s="4" t="s">
        <v>51</v>
      </c>
      <c r="H174" s="97">
        <f>H172*H171*(1-Inputs!$K$61)</f>
        <v>0</v>
      </c>
      <c r="I174" s="97">
        <f>I172*I171*(1-Inputs!$K$61)</f>
        <v>0</v>
      </c>
      <c r="J174" s="97">
        <f>J172*J171*(1-Inputs!$K$61)</f>
        <v>0</v>
      </c>
      <c r="K174" s="97">
        <f>K172*K171*(1-Inputs!$K$61)</f>
        <v>0</v>
      </c>
      <c r="L174" s="97">
        <f>L172*L171*(1-Inputs!$K$61)</f>
        <v>0</v>
      </c>
      <c r="M174" s="97">
        <f>M172*M171*(1-Inputs!$K$61)</f>
        <v>0</v>
      </c>
      <c r="N174" s="97">
        <f>N172*N171*(1-Inputs!$K$61)</f>
        <v>0</v>
      </c>
      <c r="O174" s="97">
        <f>O172*O171*(1-Inputs!$K$61)</f>
        <v>0</v>
      </c>
      <c r="P174" s="97">
        <f>P172*P171*(1-Inputs!$K$61)</f>
        <v>0</v>
      </c>
      <c r="Q174" s="97">
        <f>Q172*Q171*(1-Inputs!$K$61)</f>
        <v>0</v>
      </c>
    </row>
    <row r="175" spans="2:17" x14ac:dyDescent="0.2">
      <c r="D175" s="4" t="s">
        <v>1534</v>
      </c>
      <c r="E175" s="4" t="s">
        <v>51</v>
      </c>
      <c r="H175" s="97">
        <f t="shared" ref="H175:Q175" si="53">MAX(0,H41-H40)</f>
        <v>22.078348812411896</v>
      </c>
      <c r="I175" s="97">
        <f t="shared" si="53"/>
        <v>12.296586360341351</v>
      </c>
      <c r="J175" s="97">
        <f t="shared" si="53"/>
        <v>0</v>
      </c>
      <c r="K175" s="97">
        <f t="shared" si="53"/>
        <v>0</v>
      </c>
      <c r="L175" s="97">
        <f t="shared" si="53"/>
        <v>0</v>
      </c>
      <c r="M175" s="97">
        <f t="shared" si="53"/>
        <v>0</v>
      </c>
      <c r="N175" s="97">
        <f t="shared" si="53"/>
        <v>0</v>
      </c>
      <c r="O175" s="97">
        <f t="shared" si="53"/>
        <v>0</v>
      </c>
      <c r="P175" s="97">
        <f t="shared" si="53"/>
        <v>0</v>
      </c>
      <c r="Q175" s="97">
        <f t="shared" si="53"/>
        <v>0</v>
      </c>
    </row>
    <row r="176" spans="2:17" x14ac:dyDescent="0.2">
      <c r="D176" s="4" t="s">
        <v>1535</v>
      </c>
      <c r="E176" s="4" t="s">
        <v>51</v>
      </c>
      <c r="H176" s="97">
        <f>H175*Inputs!$K$65</f>
        <v>0</v>
      </c>
      <c r="I176" s="97">
        <f>I175*Inputs!$K$65</f>
        <v>0</v>
      </c>
      <c r="J176" s="97">
        <f>J175*Inputs!$K$65</f>
        <v>0</v>
      </c>
      <c r="K176" s="97">
        <f>K175*Inputs!$K$65</f>
        <v>0</v>
      </c>
      <c r="L176" s="97">
        <f>L175*Inputs!$K$65</f>
        <v>0</v>
      </c>
      <c r="M176" s="97">
        <f>M175*Inputs!$K$65</f>
        <v>0</v>
      </c>
      <c r="N176" s="97">
        <f>N175*Inputs!$K$65</f>
        <v>0</v>
      </c>
      <c r="O176" s="97">
        <f>O175*Inputs!$K$65</f>
        <v>0</v>
      </c>
      <c r="P176" s="97">
        <f>P175*Inputs!$K$65</f>
        <v>0</v>
      </c>
      <c r="Q176" s="97">
        <f>Q175*Inputs!$K$65</f>
        <v>0</v>
      </c>
    </row>
    <row r="177" spans="4:17" x14ac:dyDescent="0.2">
      <c r="D177" s="4" t="s">
        <v>2029</v>
      </c>
      <c r="E177" s="4" t="s">
        <v>54</v>
      </c>
      <c r="H177" s="105">
        <f>Inputs!$K$62*MAX(0,MIN(1,('Revenue Engine'!G$26-Inputs!$K$69+1)/Inputs!$K$70))</f>
        <v>0</v>
      </c>
      <c r="I177" s="105">
        <f>Inputs!$K$62*MAX(0,MIN(1,('Revenue Engine'!H$26-Inputs!$K$69+1)/Inputs!$K$70))</f>
        <v>0</v>
      </c>
      <c r="J177" s="105">
        <f>Inputs!$K$62*MAX(0,MIN(1,('Revenue Engine'!I$26-Inputs!$K$69+1)/Inputs!$K$70))</f>
        <v>0</v>
      </c>
      <c r="K177" s="105">
        <f>Inputs!$K$62*MAX(0,MIN(1,('Revenue Engine'!J$26-Inputs!$K$69+1)/Inputs!$K$70))</f>
        <v>0</v>
      </c>
      <c r="L177" s="105">
        <f>Inputs!$K$62*MAX(0,MIN(1,('Revenue Engine'!K$26-Inputs!$K$69+1)/Inputs!$K$70))</f>
        <v>0</v>
      </c>
      <c r="M177" s="105">
        <f>Inputs!$K$62*MAX(0,MIN(1,('Revenue Engine'!L$26-Inputs!$K$69+1)/Inputs!$K$70))</f>
        <v>0</v>
      </c>
      <c r="N177" s="105">
        <f>Inputs!$K$62*MAX(0,MIN(1,('Revenue Engine'!M$26-Inputs!$K$69+1)/Inputs!$K$70))</f>
        <v>0</v>
      </c>
      <c r="O177" s="105">
        <f>Inputs!$K$62*MAX(0,MIN(1,('Revenue Engine'!N$26-Inputs!$K$69+1)/Inputs!$K$70))</f>
        <v>0</v>
      </c>
      <c r="P177" s="105">
        <f>Inputs!$K$62*MAX(0,MIN(1,('Revenue Engine'!O$26-Inputs!$K$69+1)/Inputs!$K$70))</f>
        <v>0</v>
      </c>
      <c r="Q177" s="105">
        <f>Inputs!$K$62*MAX(0,MIN(1,('Revenue Engine'!P$26-Inputs!$K$69+1)/Inputs!$K$70))</f>
        <v>0</v>
      </c>
    </row>
  </sheetData>
  <pageMargins left="0.75" right="0.75" top="1" bottom="1" header="0.5" footer="0.5"/>
  <pageSetup scale="50" fitToHeight="0" orientation="landscape"/>
  <headerFooter>
    <oddFooter>&amp;C&amp;A, 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00B050"/>
    <pageSetUpPr fitToPage="1"/>
  </sheetPr>
  <dimension ref="A1:O128"/>
  <sheetViews>
    <sheetView showGridLines="0" zoomScale="85" workbookViewId="0">
      <pane xSplit="4" ySplit="4" topLeftCell="E5" activePane="bottomRight" state="frozenSplit"/>
      <selection pane="topRight" activeCell="E1" sqref="E1"/>
      <selection pane="bottomLeft" activeCell="A5" sqref="A5"/>
      <selection pane="bottomRight"/>
    </sheetView>
  </sheetViews>
  <sheetFormatPr defaultRowHeight="12.75" x14ac:dyDescent="0.2"/>
  <cols>
    <col min="1" max="1" width="1.7109375" style="10" customWidth="1"/>
    <col min="2" max="3" width="2.28515625" style="10" customWidth="1"/>
    <col min="4" max="4" width="62.7109375" style="10" customWidth="1"/>
    <col min="5" max="5" width="11" style="10" customWidth="1"/>
    <col min="6" max="6" width="9" style="10" customWidth="1"/>
    <col min="7" max="7" width="12.7109375" style="10" customWidth="1"/>
    <col min="8" max="15" width="9" style="10" customWidth="1"/>
    <col min="16" max="16" width="2" style="10" customWidth="1"/>
    <col min="17" max="17" width="10" style="10" customWidth="1"/>
    <col min="18" max="18" width="60" style="10" customWidth="1"/>
    <col min="19" max="16384" width="9.140625" style="10"/>
  </cols>
  <sheetData>
    <row r="1" spans="1:15" ht="12.75" customHeight="1" x14ac:dyDescent="0.25">
      <c r="A1" s="218" t="s">
        <v>2148</v>
      </c>
    </row>
    <row r="2" spans="1:15" ht="12.75" customHeight="1" x14ac:dyDescent="0.2">
      <c r="A2" s="219" t="s">
        <v>27</v>
      </c>
    </row>
    <row r="3" spans="1:15" ht="12.75" customHeight="1" x14ac:dyDescent="0.2">
      <c r="A3" s="220" t="s">
        <v>249</v>
      </c>
    </row>
    <row r="4" spans="1:15" ht="12.75" customHeight="1" x14ac:dyDescent="0.2">
      <c r="A4" s="214"/>
      <c r="B4" s="214"/>
      <c r="C4" s="214"/>
      <c r="D4" s="214"/>
      <c r="E4" s="214"/>
      <c r="F4" s="214"/>
      <c r="G4" s="214"/>
      <c r="H4" s="214"/>
      <c r="I4" s="214"/>
      <c r="J4" s="214"/>
      <c r="K4" s="214"/>
      <c r="L4" s="214"/>
      <c r="M4" s="214"/>
      <c r="N4" s="214"/>
      <c r="O4" s="214"/>
    </row>
    <row r="6" spans="1:15" x14ac:dyDescent="0.2">
      <c r="C6" s="200" t="s">
        <v>8</v>
      </c>
      <c r="D6" s="203" t="s">
        <v>250</v>
      </c>
      <c r="E6" s="215"/>
      <c r="F6" s="215"/>
      <c r="G6" s="215"/>
      <c r="H6" s="215"/>
      <c r="I6" s="215"/>
      <c r="J6" s="215"/>
      <c r="K6" s="215"/>
      <c r="L6" s="215"/>
      <c r="M6" s="215"/>
      <c r="N6" s="215"/>
      <c r="O6" s="215"/>
    </row>
    <row r="7" spans="1:15" x14ac:dyDescent="0.2">
      <c r="D7" s="4" t="s">
        <v>251</v>
      </c>
      <c r="E7" s="75">
        <f>Inputs!$K$175+Inputs!$K$177*Inputs!$K$176</f>
        <v>9.69E-2</v>
      </c>
      <c r="G7" s="4"/>
    </row>
    <row r="8" spans="1:15" x14ac:dyDescent="0.2">
      <c r="D8" s="4" t="s">
        <v>252</v>
      </c>
      <c r="E8" s="75">
        <f>Inputs!$K$181*(1-Inputs!$K$183)</f>
        <v>5.4669999999999996E-2</v>
      </c>
      <c r="G8" s="4"/>
    </row>
    <row r="9" spans="1:15" x14ac:dyDescent="0.2">
      <c r="D9" s="11" t="s">
        <v>1125</v>
      </c>
      <c r="E9" s="221">
        <f>(1-Inputs!$K$182)*E7+Inputs!$K$182*E8</f>
        <v>9.69E-2</v>
      </c>
      <c r="G9" s="4"/>
    </row>
    <row r="10" spans="1:15" x14ac:dyDescent="0.2">
      <c r="D10" s="11" t="s">
        <v>2030</v>
      </c>
      <c r="E10" s="221">
        <f>IF(ISNUMBER(IF(N(dt_Your)=1,'Your case'!$E$10,dt_WACC)),IF(N(dt_Your)=1,'Your case'!$E$10,dt_WACC),IF(N(dt_Case)=Sensitivities!$J$51,Inputs!$K$191,E9+Inputs!$K$184))</f>
        <v>9.69E-2</v>
      </c>
      <c r="G10" s="4" t="s">
        <v>2260</v>
      </c>
    </row>
    <row r="12" spans="1:15" x14ac:dyDescent="0.2">
      <c r="C12" s="200" t="s">
        <v>8</v>
      </c>
      <c r="D12" s="203" t="s">
        <v>253</v>
      </c>
      <c r="E12" s="215"/>
      <c r="F12" s="215"/>
      <c r="G12" s="215"/>
      <c r="H12" s="215"/>
      <c r="I12" s="215"/>
      <c r="J12" s="215"/>
      <c r="K12" s="215"/>
      <c r="L12" s="215"/>
      <c r="M12" s="215"/>
      <c r="N12" s="215"/>
      <c r="O12" s="215"/>
    </row>
    <row r="13" spans="1:15" x14ac:dyDescent="0.2">
      <c r="D13" s="4" t="s">
        <v>1112</v>
      </c>
      <c r="E13" s="14">
        <f>Inputs!$K$228</f>
        <v>95.561999999999998</v>
      </c>
      <c r="G13" s="4"/>
    </row>
    <row r="14" spans="1:15" x14ac:dyDescent="0.2">
      <c r="D14" s="4" t="s">
        <v>254</v>
      </c>
      <c r="E14" s="14">
        <f>Inputs!$K$229</f>
        <v>36.283000000000001</v>
      </c>
      <c r="G14" s="4"/>
    </row>
    <row r="15" spans="1:15" x14ac:dyDescent="0.2">
      <c r="D15" s="4" t="s">
        <v>255</v>
      </c>
      <c r="E15" s="73">
        <f>Inputs!$K$230*Inputs!$K$231</f>
        <v>2.54</v>
      </c>
      <c r="G15" s="4"/>
    </row>
    <row r="16" spans="1:15" x14ac:dyDescent="0.2">
      <c r="D16" s="4" t="s">
        <v>256</v>
      </c>
      <c r="E16" s="73">
        <f>'Tax Schedule'!F15</f>
        <v>4.132578225014675</v>
      </c>
      <c r="G16" s="4" t="s">
        <v>257</v>
      </c>
    </row>
    <row r="17" spans="3:15" x14ac:dyDescent="0.2">
      <c r="D17" s="4" t="s">
        <v>258</v>
      </c>
      <c r="E17" s="73">
        <f>'Dilution Calcs'!I44*'Dilution Calcs'!I45</f>
        <v>0</v>
      </c>
      <c r="G17" s="4"/>
    </row>
    <row r="18" spans="3:15" x14ac:dyDescent="0.2">
      <c r="D18" s="4" t="s">
        <v>259</v>
      </c>
      <c r="E18" s="14">
        <f>Inputs!$K$233</f>
        <v>0</v>
      </c>
      <c r="G18" s="4"/>
    </row>
    <row r="19" spans="3:15" x14ac:dyDescent="0.2">
      <c r="D19" s="4" t="s">
        <v>260</v>
      </c>
      <c r="E19" s="73">
        <f>-Inputs!$K$232</f>
        <v>0</v>
      </c>
      <c r="G19" s="4"/>
    </row>
    <row r="20" spans="3:15" x14ac:dyDescent="0.2">
      <c r="D20" s="4" t="s">
        <v>261</v>
      </c>
      <c r="E20" s="73">
        <f>-'Dilution Calcs'!I63</f>
        <v>0</v>
      </c>
      <c r="G20" s="4"/>
    </row>
    <row r="21" spans="3:15" x14ac:dyDescent="0.2">
      <c r="D21" s="4" t="s">
        <v>1019</v>
      </c>
      <c r="E21" s="73">
        <f>StubQ*Historicals!Q17/MperB</f>
        <v>1.248</v>
      </c>
      <c r="G21" s="4" t="s">
        <v>262</v>
      </c>
    </row>
    <row r="22" spans="3:15" x14ac:dyDescent="0.2">
      <c r="D22" s="4" t="s">
        <v>1020</v>
      </c>
      <c r="E22" s="73">
        <f>-Inputs!$K$237</f>
        <v>-0.45</v>
      </c>
      <c r="G22" s="4" t="s">
        <v>263</v>
      </c>
    </row>
    <row r="23" spans="3:15" x14ac:dyDescent="0.2">
      <c r="D23" s="11" t="s">
        <v>979</v>
      </c>
      <c r="E23" s="206">
        <f>SUM(E13:E22)</f>
        <v>139.31557822501466</v>
      </c>
      <c r="G23" s="4"/>
    </row>
    <row r="25" spans="3:15" x14ac:dyDescent="0.2">
      <c r="C25" s="200" t="s">
        <v>8</v>
      </c>
      <c r="D25" s="203" t="s">
        <v>264</v>
      </c>
      <c r="E25" s="215"/>
      <c r="F25" s="215"/>
      <c r="G25" s="215"/>
      <c r="H25" s="215"/>
      <c r="I25" s="215"/>
      <c r="J25" s="215"/>
      <c r="K25" s="215"/>
      <c r="L25" s="215"/>
      <c r="M25" s="215"/>
      <c r="N25" s="215"/>
      <c r="O25" s="215"/>
    </row>
    <row r="26" spans="3:15" x14ac:dyDescent="0.2">
      <c r="D26" s="4" t="s">
        <v>265</v>
      </c>
      <c r="F26" s="138" t="str">
        <f>Model!H33</f>
        <v>2027F</v>
      </c>
      <c r="G26" s="138" t="str">
        <f>Model!I33</f>
        <v>2028F</v>
      </c>
      <c r="H26" s="138" t="str">
        <f>Model!J33</f>
        <v>2029F</v>
      </c>
      <c r="I26" s="138" t="str">
        <f>Model!K33</f>
        <v>2030F</v>
      </c>
      <c r="J26" s="138" t="str">
        <f>Model!L33</f>
        <v>2031F</v>
      </c>
      <c r="K26" s="138" t="str">
        <f>Model!M33</f>
        <v>2032F</v>
      </c>
      <c r="L26" s="138" t="str">
        <f>Model!N33</f>
        <v>2033F</v>
      </c>
      <c r="M26" s="138" t="str">
        <f>Model!O33</f>
        <v>2034F</v>
      </c>
      <c r="N26" s="138" t="str">
        <f>Model!P33</f>
        <v>2035F</v>
      </c>
      <c r="O26" s="138" t="str">
        <f>Model!Q33</f>
        <v>2036F</v>
      </c>
    </row>
    <row r="27" spans="3:15" x14ac:dyDescent="0.2">
      <c r="D27" s="4" t="s">
        <v>266</v>
      </c>
      <c r="F27" s="14">
        <f>Model!H74</f>
        <v>6.0616268814151795</v>
      </c>
      <c r="G27" s="14">
        <f>Model!I74</f>
        <v>25.457897551447417</v>
      </c>
      <c r="H27" s="14">
        <f>Model!J74</f>
        <v>49.422962208656273</v>
      </c>
      <c r="I27" s="14">
        <f>Model!K74</f>
        <v>59.839508626893803</v>
      </c>
      <c r="J27" s="14">
        <f>Model!L74</f>
        <v>72.455742875100682</v>
      </c>
      <c r="K27" s="14">
        <f>Model!M74</f>
        <v>73.303979084729235</v>
      </c>
      <c r="L27" s="14">
        <f>Model!N74</f>
        <v>88.48849691102744</v>
      </c>
      <c r="M27" s="14">
        <f>Model!O74</f>
        <v>105.27496313570244</v>
      </c>
      <c r="N27" s="14">
        <f>Model!P74</f>
        <v>122.97804746433485</v>
      </c>
      <c r="O27" s="14">
        <f>Model!Q74</f>
        <v>141.56879755949356</v>
      </c>
    </row>
    <row r="28" spans="3:15" x14ac:dyDescent="0.2">
      <c r="D28" s="4" t="s">
        <v>267</v>
      </c>
      <c r="F28" s="1">
        <f>'Compute Commitments'!N$12</f>
        <v>0.5</v>
      </c>
      <c r="G28" s="1">
        <f>'Compute Commitments'!O$12</f>
        <v>1.5</v>
      </c>
      <c r="H28" s="1">
        <f>'Compute Commitments'!P$12</f>
        <v>2.5</v>
      </c>
      <c r="I28" s="1">
        <f>'Compute Commitments'!Q$12</f>
        <v>3.5</v>
      </c>
      <c r="J28" s="1">
        <f>'Compute Commitments'!R$12</f>
        <v>4.5</v>
      </c>
      <c r="K28" s="1">
        <f>'Compute Commitments'!S$12</f>
        <v>5.5</v>
      </c>
      <c r="L28" s="1">
        <f>'Compute Commitments'!T$12</f>
        <v>6.5</v>
      </c>
      <c r="M28" s="1">
        <f>'Compute Commitments'!U$12</f>
        <v>7.5</v>
      </c>
      <c r="N28" s="1">
        <f>'Compute Commitments'!V$12</f>
        <v>8.5</v>
      </c>
      <c r="O28" s="1">
        <f>'Compute Commitments'!W$12</f>
        <v>9.5</v>
      </c>
    </row>
    <row r="29" spans="3:15" x14ac:dyDescent="0.2">
      <c r="D29" s="4" t="s">
        <v>210</v>
      </c>
      <c r="F29" s="222">
        <f>Model!H82</f>
        <v>0.9548089511008887</v>
      </c>
      <c r="G29" s="222">
        <f>Model!I82</f>
        <v>0.87046125544797959</v>
      </c>
      <c r="H29" s="222">
        <f>Model!J82</f>
        <v>0.79356482400216943</v>
      </c>
      <c r="I29" s="222">
        <f>Model!K82</f>
        <v>0.72346141307518408</v>
      </c>
      <c r="J29" s="222">
        <f>Model!L82</f>
        <v>0.65955092813855776</v>
      </c>
      <c r="K29" s="222">
        <f>Model!M82</f>
        <v>0.60128628693459552</v>
      </c>
      <c r="L29" s="222">
        <f>Model!N82</f>
        <v>0.54816873637942887</v>
      </c>
      <c r="M29" s="222">
        <f>Model!O82</f>
        <v>0.49974358317023326</v>
      </c>
      <c r="N29" s="222">
        <f>Model!P82</f>
        <v>0.45559630155003489</v>
      </c>
      <c r="O29" s="222">
        <f>Model!Q82</f>
        <v>0.41534898491205663</v>
      </c>
    </row>
    <row r="30" spans="3:15" x14ac:dyDescent="0.2">
      <c r="D30" s="4" t="s">
        <v>211</v>
      </c>
      <c r="F30" s="14">
        <f>Model!H83</f>
        <v>5.7876956046089783</v>
      </c>
      <c r="G30" s="14">
        <f>Model!I83</f>
        <v>22.160113463698963</v>
      </c>
      <c r="H30" s="14">
        <f>Model!J83</f>
        <v>39.220324306778188</v>
      </c>
      <c r="I30" s="14">
        <f>Model!K83</f>
        <v>43.29157546893726</v>
      </c>
      <c r="J30" s="14">
        <f>Model!L83</f>
        <v>47.788252462241346</v>
      </c>
      <c r="K30" s="14">
        <f>Model!M83</f>
        <v>44.076677401388089</v>
      </c>
      <c r="L30" s="14">
        <f>Model!N83</f>
        <v>48.506627535832905</v>
      </c>
      <c r="M30" s="14">
        <f>Model!O83</f>
        <v>52.610487295550151</v>
      </c>
      <c r="N30" s="14">
        <f>Model!P83</f>
        <v>56.028343596595604</v>
      </c>
      <c r="O30" s="14">
        <f>Model!Q83</f>
        <v>58.800456361556087</v>
      </c>
    </row>
    <row r="32" spans="3:15" x14ac:dyDescent="0.2">
      <c r="C32" s="200" t="s">
        <v>8</v>
      </c>
      <c r="D32" s="203" t="s">
        <v>268</v>
      </c>
      <c r="E32" s="215"/>
      <c r="F32" s="215"/>
      <c r="G32" s="215"/>
      <c r="H32" s="215"/>
      <c r="I32" s="215"/>
      <c r="J32" s="215"/>
      <c r="K32" s="215"/>
      <c r="L32" s="215"/>
      <c r="M32" s="215"/>
      <c r="N32" s="215"/>
      <c r="O32" s="215"/>
    </row>
    <row r="33" spans="3:15" x14ac:dyDescent="0.2">
      <c r="D33" s="4" t="s">
        <v>269</v>
      </c>
      <c r="E33" s="14">
        <f>Model!Q58</f>
        <v>190.22890299837158</v>
      </c>
      <c r="G33" s="4"/>
    </row>
    <row r="34" spans="3:15" x14ac:dyDescent="0.2">
      <c r="D34" s="4" t="s">
        <v>270</v>
      </c>
      <c r="E34" s="73">
        <f>E33*(1-Inputs!$K$183)</f>
        <v>146.47625530874612</v>
      </c>
      <c r="G34" s="4"/>
    </row>
    <row r="35" spans="3:15" x14ac:dyDescent="0.2">
      <c r="D35" s="4" t="s">
        <v>14</v>
      </c>
      <c r="E35" s="18">
        <f>Model!$F$25</f>
        <v>3.5000000000000003E-2</v>
      </c>
      <c r="G35" s="4"/>
    </row>
    <row r="36" spans="3:15" ht="25.5" x14ac:dyDescent="0.2">
      <c r="D36" s="36" t="s">
        <v>1845</v>
      </c>
      <c r="E36" s="75">
        <f>E35/Inputs!$K$186</f>
        <v>0.36119711042311664</v>
      </c>
      <c r="G36" s="4"/>
    </row>
    <row r="37" spans="3:15" ht="25.5" x14ac:dyDescent="0.2">
      <c r="D37" s="36" t="s">
        <v>1846</v>
      </c>
      <c r="E37" s="73">
        <f>E34*(1+E35)*(1-E36)</f>
        <v>96.844386075725296</v>
      </c>
      <c r="G37" s="4"/>
    </row>
    <row r="38" spans="3:15" x14ac:dyDescent="0.2">
      <c r="D38" s="36" t="s">
        <v>1847</v>
      </c>
      <c r="E38" s="73">
        <f>E106/Model!$Q$160</f>
        <v>2161.7432185145822</v>
      </c>
      <c r="G38" s="4"/>
    </row>
    <row r="39" spans="3:15" x14ac:dyDescent="0.2">
      <c r="D39" s="11" t="s">
        <v>214</v>
      </c>
      <c r="E39" s="206">
        <f>E106</f>
        <v>857.30180956022298</v>
      </c>
      <c r="G39" s="4"/>
    </row>
    <row r="40" spans="3:15" x14ac:dyDescent="0.2">
      <c r="D40" s="4" t="s">
        <v>271</v>
      </c>
      <c r="E40" s="130">
        <f>E38/E33</f>
        <v>11.363905192330774</v>
      </c>
      <c r="G40" s="4"/>
    </row>
    <row r="41" spans="3:15" x14ac:dyDescent="0.2">
      <c r="D41" s="4" t="s">
        <v>272</v>
      </c>
      <c r="E41" s="130">
        <f>E38/Model!Q35</f>
        <v>2.929972460549322</v>
      </c>
      <c r="G41" s="4"/>
    </row>
    <row r="43" spans="3:15" x14ac:dyDescent="0.2">
      <c r="C43" s="200" t="s">
        <v>8</v>
      </c>
      <c r="D43" s="203" t="s">
        <v>273</v>
      </c>
      <c r="E43" s="215"/>
      <c r="F43" s="215"/>
      <c r="G43" s="215"/>
      <c r="H43" s="215"/>
      <c r="I43" s="215"/>
      <c r="J43" s="215"/>
      <c r="K43" s="215"/>
      <c r="L43" s="215"/>
      <c r="M43" s="215"/>
      <c r="N43" s="215"/>
      <c r="O43" s="215"/>
    </row>
    <row r="44" spans="3:15" x14ac:dyDescent="0.2">
      <c r="D44" s="4" t="s">
        <v>274</v>
      </c>
      <c r="E44" s="73">
        <f>SUM(F30:O30)</f>
        <v>418.27055349718762</v>
      </c>
      <c r="G44" s="4"/>
    </row>
    <row r="45" spans="3:15" x14ac:dyDescent="0.2">
      <c r="D45" s="4" t="s">
        <v>214</v>
      </c>
      <c r="E45" s="73">
        <f>E39</f>
        <v>857.30180956022298</v>
      </c>
      <c r="G45" s="4"/>
    </row>
    <row r="46" spans="3:15" x14ac:dyDescent="0.2">
      <c r="D46" s="11" t="s">
        <v>275</v>
      </c>
      <c r="E46" s="206">
        <f>E44+E45</f>
        <v>1275.5723630574107</v>
      </c>
      <c r="G46" s="4"/>
    </row>
    <row r="47" spans="3:15" x14ac:dyDescent="0.2">
      <c r="D47" s="4" t="s">
        <v>6</v>
      </c>
      <c r="E47" s="75">
        <f>E45/E46</f>
        <v>0.67209186588627723</v>
      </c>
      <c r="G47" s="4"/>
    </row>
    <row r="48" spans="3:15" x14ac:dyDescent="0.2">
      <c r="D48" s="4" t="s">
        <v>276</v>
      </c>
      <c r="E48" s="73">
        <f>-E46*Inputs!$K$188*(1-Inputs!$K$189)</f>
        <v>0</v>
      </c>
      <c r="G48" s="4"/>
    </row>
    <row r="49" spans="4:7" x14ac:dyDescent="0.2">
      <c r="D49" s="4" t="s">
        <v>277</v>
      </c>
      <c r="E49" s="73">
        <f>E13+E14+E15</f>
        <v>134.38499999999999</v>
      </c>
      <c r="G49" s="4"/>
    </row>
    <row r="50" spans="4:7" x14ac:dyDescent="0.2">
      <c r="D50" s="4" t="s">
        <v>980</v>
      </c>
      <c r="E50" s="73">
        <f>Model!G74+Model!G48</f>
        <v>0.69643837987258794</v>
      </c>
      <c r="G50" s="4"/>
    </row>
    <row r="51" spans="4:7" x14ac:dyDescent="0.2">
      <c r="D51" s="4" t="s">
        <v>278</v>
      </c>
      <c r="E51" s="73">
        <f>E23-E49</f>
        <v>4.9305782250146706</v>
      </c>
      <c r="G51" s="4"/>
    </row>
    <row r="52" spans="4:7" x14ac:dyDescent="0.2">
      <c r="D52" s="4" t="s">
        <v>279</v>
      </c>
      <c r="E52" s="73">
        <f>-Model!$F$94-Model!$F$96</f>
        <v>0</v>
      </c>
      <c r="G52" s="4" t="s">
        <v>280</v>
      </c>
    </row>
    <row r="53" spans="4:7" x14ac:dyDescent="0.2">
      <c r="D53" s="4" t="s">
        <v>896</v>
      </c>
      <c r="E53" s="73">
        <f>-Model!$F$98</f>
        <v>0</v>
      </c>
      <c r="G53" s="4"/>
    </row>
    <row r="54" spans="4:7" x14ac:dyDescent="0.2">
      <c r="D54" s="11" t="s">
        <v>281</v>
      </c>
      <c r="E54" s="206">
        <f>E46+E48+E49+E50+E51+E52+E53</f>
        <v>1415.584379662298</v>
      </c>
      <c r="G54" s="4"/>
    </row>
    <row r="55" spans="4:7" x14ac:dyDescent="0.2">
      <c r="D55" s="4" t="s">
        <v>282</v>
      </c>
      <c r="E55" s="73">
        <f>-E54*Inputs!$K$234</f>
        <v>0</v>
      </c>
      <c r="G55" s="4"/>
    </row>
    <row r="56" spans="4:7" x14ac:dyDescent="0.2">
      <c r="D56" s="11" t="s">
        <v>283</v>
      </c>
      <c r="E56" s="206">
        <f>E54+E55</f>
        <v>1415.584379662298</v>
      </c>
      <c r="G56" s="4"/>
    </row>
    <row r="57" spans="4:7" x14ac:dyDescent="0.2">
      <c r="D57" s="4" t="s">
        <v>284</v>
      </c>
      <c r="E57" s="73">
        <f>'Dilution Calcs'!$I$48*(1+'Dilution Calcs'!$I$49)^Inputs!$K$238</f>
        <v>17213.287360440001</v>
      </c>
      <c r="G57" s="4"/>
    </row>
    <row r="58" spans="4:7" x14ac:dyDescent="0.2">
      <c r="D58" s="11" t="s">
        <v>5</v>
      </c>
      <c r="E58" s="223">
        <f>E56*MperB/E57</f>
        <v>82.237886931210411</v>
      </c>
      <c r="G58" s="4"/>
    </row>
    <row r="59" spans="4:7" x14ac:dyDescent="0.2">
      <c r="D59" s="4" t="s">
        <v>285</v>
      </c>
      <c r="E59" s="130">
        <f>E58/'Dilution Calcs'!I32</f>
        <v>1.3962064606973301</v>
      </c>
      <c r="G59" s="4"/>
    </row>
    <row r="60" spans="4:7" x14ac:dyDescent="0.2">
      <c r="D60" s="4" t="s">
        <v>7</v>
      </c>
      <c r="E60" s="75">
        <f>E56/Inputs!$K$256-1</f>
        <v>-5.6277080225134668E-2</v>
      </c>
      <c r="G60" s="4"/>
    </row>
    <row r="61" spans="4:7" x14ac:dyDescent="0.2">
      <c r="D61" s="4" t="s">
        <v>286</v>
      </c>
      <c r="E61" s="74">
        <f>Inputs!$K$256*MperB/E57</f>
        <v>87.141983317337562</v>
      </c>
      <c r="G61" s="4"/>
    </row>
    <row r="62" spans="4:7" x14ac:dyDescent="0.2">
      <c r="D62" s="4" t="s">
        <v>287</v>
      </c>
      <c r="E62" s="130">
        <f>E46/Inputs!$K$96</f>
        <v>18.807094289004052</v>
      </c>
      <c r="G62" s="4"/>
    </row>
    <row r="63" spans="4:7" x14ac:dyDescent="0.2">
      <c r="D63" s="4" t="s">
        <v>288</v>
      </c>
      <c r="E63" s="130">
        <f>E46/Model!H35</f>
        <v>9.9788586009651628</v>
      </c>
      <c r="G63" s="4"/>
    </row>
    <row r="64" spans="4:7" x14ac:dyDescent="0.2">
      <c r="D64" s="4" t="s">
        <v>289</v>
      </c>
      <c r="E64" s="73">
        <f>E56-Model!$F$99</f>
        <v>0</v>
      </c>
      <c r="G64" s="4"/>
    </row>
    <row r="66" spans="3:15" x14ac:dyDescent="0.2">
      <c r="C66" s="200" t="s">
        <v>8</v>
      </c>
      <c r="D66" s="203" t="s">
        <v>290</v>
      </c>
      <c r="E66" s="215"/>
      <c r="F66" s="215"/>
      <c r="G66" s="215"/>
      <c r="H66" s="215"/>
      <c r="I66" s="215"/>
      <c r="J66" s="215"/>
      <c r="K66" s="215"/>
      <c r="L66" s="215"/>
      <c r="M66" s="215"/>
      <c r="N66" s="215"/>
      <c r="O66" s="215"/>
    </row>
    <row r="67" spans="3:15" x14ac:dyDescent="0.2">
      <c r="D67" s="4" t="s">
        <v>291</v>
      </c>
      <c r="E67" s="73">
        <f>SUMPRODUCT('Compute Commitments'!$N$43:$AF$43,1/(1+E10)^'Compute Commitments'!$N$12:$AF$12)</f>
        <v>641.2798674012821</v>
      </c>
      <c r="G67" s="4"/>
    </row>
    <row r="68" spans="3:15" x14ac:dyDescent="0.2">
      <c r="D68" s="4" t="s">
        <v>292</v>
      </c>
      <c r="E68" s="73">
        <f>SUMPRODUCT('Compute Commitments'!$N$43:$AF$43,1/(1+Inputs!$K$181)^'Compute Commitments'!$N$12:$AF$12)</f>
        <v>710.02676222241291</v>
      </c>
      <c r="G68" s="4"/>
    </row>
    <row r="69" spans="3:15" x14ac:dyDescent="0.2">
      <c r="D69" s="4" t="s">
        <v>293</v>
      </c>
      <c r="E69" s="73">
        <f>SUMPRODUCT('Compute Commitments'!$N$34:$AF$34,1/(1+Inputs!$K$181)^'Compute Commitments'!$N$12:$AF$12)</f>
        <v>821.25602187631728</v>
      </c>
      <c r="F69" s="11" t="s">
        <v>294</v>
      </c>
      <c r="G69" s="4" t="s">
        <v>295</v>
      </c>
    </row>
    <row r="70" spans="3:15" x14ac:dyDescent="0.2">
      <c r="D70" s="11" t="s">
        <v>18</v>
      </c>
      <c r="E70" s="206">
        <f>E56</f>
        <v>1415.584379662298</v>
      </c>
      <c r="F70" s="74">
        <f>E70*MperB/E57</f>
        <v>82.237886931210411</v>
      </c>
      <c r="G70" s="4" t="s">
        <v>296</v>
      </c>
    </row>
    <row r="72" spans="3:15" x14ac:dyDescent="0.2">
      <c r="D72" s="11" t="s">
        <v>866</v>
      </c>
    </row>
    <row r="73" spans="3:15" x14ac:dyDescent="0.2">
      <c r="D73" s="11" t="s">
        <v>864</v>
      </c>
      <c r="E73" s="206">
        <f>Sensitivities!$I$52</f>
        <v>1405.8944211258627</v>
      </c>
      <c r="F73" s="74">
        <f>E73*MperB/E57</f>
        <v>81.674952127791911</v>
      </c>
      <c r="G73" s="4" t="s">
        <v>865</v>
      </c>
    </row>
    <row r="74" spans="3:15" x14ac:dyDescent="0.2">
      <c r="D74" s="4" t="s">
        <v>297</v>
      </c>
      <c r="E74" s="73">
        <f>E56-E68*(1-Inputs!$K$234)</f>
        <v>705.55761743988512</v>
      </c>
      <c r="F74" s="74">
        <f>E74*MperB/E57</f>
        <v>40.989126752244601</v>
      </c>
      <c r="G74" s="4" t="s">
        <v>298</v>
      </c>
    </row>
    <row r="75" spans="3:15" x14ac:dyDescent="0.2">
      <c r="D75" s="4" t="s">
        <v>299</v>
      </c>
      <c r="E75" s="14">
        <f>Sensitivities!$F$52</f>
        <v>1444.1276411242598</v>
      </c>
      <c r="F75" s="74">
        <f>E75*MperB/E57</f>
        <v>83.896097873970845</v>
      </c>
      <c r="G75" s="4" t="s">
        <v>300</v>
      </c>
    </row>
    <row r="76" spans="3:15" x14ac:dyDescent="0.2">
      <c r="D76" s="4" t="s">
        <v>301</v>
      </c>
      <c r="E76" s="73">
        <f>E75-E70</f>
        <v>28.54326146196172</v>
      </c>
      <c r="G76" s="4"/>
    </row>
    <row r="78" spans="3:15" x14ac:dyDescent="0.2">
      <c r="C78" s="200" t="s">
        <v>8</v>
      </c>
      <c r="D78" s="203" t="s">
        <v>302</v>
      </c>
      <c r="E78" s="215"/>
      <c r="F78" s="215"/>
      <c r="G78" s="215"/>
      <c r="H78" s="215"/>
      <c r="I78" s="215"/>
      <c r="J78" s="215"/>
      <c r="K78" s="215"/>
      <c r="L78" s="215"/>
      <c r="M78" s="215"/>
      <c r="N78" s="215"/>
      <c r="O78" s="215"/>
    </row>
    <row r="79" spans="3:15" x14ac:dyDescent="0.2">
      <c r="D79" s="4" t="s">
        <v>303</v>
      </c>
      <c r="E79" s="14">
        <f>Sensitivities!$H$52</f>
        <v>1378.9578920958302</v>
      </c>
      <c r="G79" s="4"/>
    </row>
    <row r="80" spans="3:15" x14ac:dyDescent="0.2">
      <c r="D80" s="4" t="s">
        <v>304</v>
      </c>
      <c r="E80" s="73">
        <f>E56-E79</f>
        <v>36.626487566467858</v>
      </c>
      <c r="G80" s="4"/>
    </row>
    <row r="81" spans="2:15" x14ac:dyDescent="0.2">
      <c r="D81" s="4" t="s">
        <v>305</v>
      </c>
      <c r="E81" s="14">
        <f>Sensitivities!$G$52</f>
        <v>1415.936991736693</v>
      </c>
      <c r="G81" s="4" t="s">
        <v>306</v>
      </c>
    </row>
    <row r="82" spans="2:15" x14ac:dyDescent="0.2">
      <c r="D82" s="4" t="s">
        <v>307</v>
      </c>
      <c r="E82" s="73">
        <f>E81-E56</f>
        <v>0.35261207439498321</v>
      </c>
      <c r="G82" s="4"/>
    </row>
    <row r="84" spans="2:15" x14ac:dyDescent="0.2">
      <c r="C84" s="200" t="s">
        <v>8</v>
      </c>
      <c r="D84" s="203" t="s">
        <v>308</v>
      </c>
      <c r="E84" s="215"/>
      <c r="F84" s="215"/>
      <c r="G84" s="215"/>
      <c r="H84" s="215"/>
      <c r="I84" s="215"/>
      <c r="J84" s="215"/>
      <c r="K84" s="215"/>
      <c r="L84" s="215"/>
      <c r="M84" s="215"/>
      <c r="N84" s="215"/>
      <c r="O84" s="215"/>
    </row>
    <row r="85" spans="2:15" x14ac:dyDescent="0.2">
      <c r="D85" s="4" t="s">
        <v>309</v>
      </c>
      <c r="E85" s="73">
        <f>E56-'Dilution Calcs'!I68*(1-Inputs!$K$234)</f>
        <v>1394.4904973093569</v>
      </c>
      <c r="G85" s="4"/>
    </row>
    <row r="86" spans="2:15" x14ac:dyDescent="0.2">
      <c r="D86" s="4" t="s">
        <v>310</v>
      </c>
      <c r="E86" s="223">
        <f>E85*MperB/E57</f>
        <v>81.012445101811821</v>
      </c>
      <c r="G86" s="4"/>
    </row>
    <row r="87" spans="2:15" x14ac:dyDescent="0.2">
      <c r="D87" s="4" t="s">
        <v>311</v>
      </c>
      <c r="E87" s="74">
        <f>(E56-'Dilution Calcs'!I91*(1-Inputs!$K$234))*MperB/(E57-'Dilution Calcs'!I85*(1+'Dilution Calcs'!$I$49)^Inputs!$K$238)</f>
        <v>91.354404618191339</v>
      </c>
      <c r="G87" s="4" t="s">
        <v>312</v>
      </c>
    </row>
    <row r="89" spans="2:15" x14ac:dyDescent="0.2">
      <c r="B89" s="5" t="s">
        <v>8</v>
      </c>
      <c r="C89" s="5" t="s">
        <v>8</v>
      </c>
      <c r="D89" s="72" t="s">
        <v>920</v>
      </c>
      <c r="E89" s="167"/>
      <c r="F89" s="167"/>
      <c r="G89" s="167"/>
    </row>
    <row r="90" spans="2:15" x14ac:dyDescent="0.2">
      <c r="D90" s="4" t="s">
        <v>921</v>
      </c>
      <c r="E90" s="18">
        <f>Inputs!$K$189-Inputs!$K$190</f>
        <v>0.3</v>
      </c>
      <c r="G90" s="4" t="s">
        <v>924</v>
      </c>
    </row>
    <row r="91" spans="2:15" x14ac:dyDescent="0.2">
      <c r="D91" s="4" t="s">
        <v>922</v>
      </c>
      <c r="E91" s="73">
        <f>E56+E46*Inputs!$K$188*(E90-Inputs!$K$189)*(1-Inputs!$K$234)</f>
        <v>1415.584379662298</v>
      </c>
    </row>
    <row r="92" spans="2:15" x14ac:dyDescent="0.2">
      <c r="D92" s="4" t="s">
        <v>310</v>
      </c>
      <c r="E92" s="74">
        <f>E91*MperB/E57</f>
        <v>82.237886931210411</v>
      </c>
    </row>
    <row r="93" spans="2:15" x14ac:dyDescent="0.2">
      <c r="D93" s="4" t="s">
        <v>923</v>
      </c>
      <c r="E93" s="18">
        <f>Inputs!$K$189+Inputs!$K$190</f>
        <v>0.7</v>
      </c>
    </row>
    <row r="94" spans="2:15" x14ac:dyDescent="0.2">
      <c r="D94" s="4" t="s">
        <v>922</v>
      </c>
      <c r="E94" s="73">
        <f>E56+E46*Inputs!$K$188*(E93-Inputs!$K$189)*(1-Inputs!$K$234)</f>
        <v>1415.584379662298</v>
      </c>
    </row>
    <row r="95" spans="2:15" x14ac:dyDescent="0.2">
      <c r="D95" s="4" t="s">
        <v>310</v>
      </c>
      <c r="E95" s="74">
        <f>E94*MperB/E57</f>
        <v>82.237886931210411</v>
      </c>
    </row>
    <row r="97" spans="4:15" x14ac:dyDescent="0.2">
      <c r="D97" s="11" t="s">
        <v>1970</v>
      </c>
    </row>
    <row r="98" spans="4:15" x14ac:dyDescent="0.2">
      <c r="D98" s="4" t="s">
        <v>1113</v>
      </c>
      <c r="F98" s="10">
        <v>1</v>
      </c>
      <c r="G98" s="10">
        <v>2</v>
      </c>
      <c r="H98" s="10">
        <v>3</v>
      </c>
      <c r="I98" s="10">
        <v>4</v>
      </c>
      <c r="J98" s="10">
        <v>5</v>
      </c>
      <c r="K98" s="10">
        <v>6</v>
      </c>
      <c r="L98" s="10">
        <v>7</v>
      </c>
      <c r="M98" s="10">
        <v>8</v>
      </c>
      <c r="N98" s="10">
        <v>9</v>
      </c>
      <c r="O98" s="10">
        <v>10</v>
      </c>
    </row>
    <row r="99" spans="4:15" x14ac:dyDescent="0.2">
      <c r="D99" s="4" t="s">
        <v>1114</v>
      </c>
      <c r="F99" s="216">
        <f>IF(F$98&lt;=MIN(10,Inputs!$K$187),Model!$Q$36+(Model!$F$25-Model!$Q$36)*F$98/MIN(10,Inputs!$K$187),Model!$F$25)</f>
        <v>7.9003270753335797E-2</v>
      </c>
      <c r="G99" s="216">
        <f>IF(G$98&lt;=MIN(10,Inputs!$K$187),Model!$Q$36+(Model!$F$25-Model!$Q$36)*G$98/MIN(10,Inputs!$K$187),Model!$F$25)</f>
        <v>6.8002453065001842E-2</v>
      </c>
      <c r="H99" s="216">
        <f>IF(H$98&lt;=MIN(10,Inputs!$K$187),Model!$Q$36+(Model!$F$25-Model!$Q$36)*H$98/MIN(10,Inputs!$K$187),Model!$F$25)</f>
        <v>5.70016353766679E-2</v>
      </c>
      <c r="I99" s="216">
        <f>IF(I$98&lt;=MIN(10,Inputs!$K$187),Model!$Q$36+(Model!$F$25-Model!$Q$36)*I$98/MIN(10,Inputs!$K$187),Model!$F$25)</f>
        <v>4.6000817688333952E-2</v>
      </c>
      <c r="J99" s="216">
        <f>IF(J$98&lt;=MIN(10,Inputs!$K$187),Model!$Q$36+(Model!$F$25-Model!$Q$36)*J$98/MIN(10,Inputs!$K$187),Model!$F$25)</f>
        <v>3.500000000000001E-2</v>
      </c>
      <c r="K99" s="216">
        <f>IF(K$98&lt;=MIN(10,Inputs!$K$187),Model!$Q$36+(Model!$F$25-Model!$Q$36)*K$98/MIN(10,Inputs!$K$187),Model!$F$25)</f>
        <v>3.5000000000000003E-2</v>
      </c>
      <c r="L99" s="216">
        <f>IF(L$98&lt;=MIN(10,Inputs!$K$187),Model!$Q$36+(Model!$F$25-Model!$Q$36)*L$98/MIN(10,Inputs!$K$187),Model!$F$25)</f>
        <v>3.5000000000000003E-2</v>
      </c>
      <c r="M99" s="216">
        <f>IF(M$98&lt;=MIN(10,Inputs!$K$187),Model!$Q$36+(Model!$F$25-Model!$Q$36)*M$98/MIN(10,Inputs!$K$187),Model!$F$25)</f>
        <v>3.5000000000000003E-2</v>
      </c>
      <c r="N99" s="216">
        <f>IF(N$98&lt;=MIN(10,Inputs!$K$187),Model!$Q$36+(Model!$F$25-Model!$Q$36)*N$98/MIN(10,Inputs!$K$187),Model!$F$25)</f>
        <v>3.5000000000000003E-2</v>
      </c>
      <c r="O99" s="216">
        <f>IF(O$98&lt;=MIN(10,Inputs!$K$187),Model!$Q$36+(Model!$F$25-Model!$Q$36)*O$98/MIN(10,Inputs!$K$187),Model!$F$25)</f>
        <v>3.5000000000000003E-2</v>
      </c>
    </row>
    <row r="100" spans="4:15" x14ac:dyDescent="0.2">
      <c r="D100" s="4" t="s">
        <v>204</v>
      </c>
      <c r="F100" s="224">
        <f>$E$34*(1+F99)</f>
        <v>158.04835856583773</v>
      </c>
      <c r="G100" s="224">
        <f t="shared" ref="G100:O100" si="0">F100*(1+G99)</f>
        <v>168.7960346512117</v>
      </c>
      <c r="H100" s="224">
        <f t="shared" si="0"/>
        <v>178.41768467142745</v>
      </c>
      <c r="I100" s="224">
        <f t="shared" si="0"/>
        <v>186.62504405637245</v>
      </c>
      <c r="J100" s="224">
        <f t="shared" si="0"/>
        <v>193.15692059834547</v>
      </c>
      <c r="K100" s="224">
        <f t="shared" si="0"/>
        <v>199.91741281928753</v>
      </c>
      <c r="L100" s="224">
        <f t="shared" si="0"/>
        <v>206.91452226796258</v>
      </c>
      <c r="M100" s="224">
        <f t="shared" si="0"/>
        <v>214.15653054734125</v>
      </c>
      <c r="N100" s="224">
        <f t="shared" si="0"/>
        <v>221.65200911649816</v>
      </c>
      <c r="O100" s="224">
        <f t="shared" si="0"/>
        <v>229.40982943557557</v>
      </c>
    </row>
    <row r="101" spans="4:15" ht="25.5" x14ac:dyDescent="0.2">
      <c r="D101" s="36" t="s">
        <v>1842</v>
      </c>
      <c r="F101" s="224">
        <f>IF(N(dt_Case)=Sensitivities!$O$51,F100*(1-F99/F109),F100-F117)</f>
        <v>138.61873512613755</v>
      </c>
      <c r="G101" s="224">
        <f>IF(N(dt_Case)=Sensitivities!$O$51,G100*(1-G99/G109),G100-G117)</f>
        <v>150.7506288549304</v>
      </c>
      <c r="H101" s="224">
        <f>IF(N(dt_Case)=Sensitivities!$O$51,H100*(1-H99/H109),H100-H117)</f>
        <v>162.26288267838336</v>
      </c>
      <c r="I101" s="224">
        <f>IF(N(dt_Case)=Sensitivities!$O$51,I100*(1-I99/I109),I100-I117)</f>
        <v>172.84484362599292</v>
      </c>
      <c r="J101" s="224">
        <f>IF(N(dt_Case)=Sensitivities!$O$51,J100*(1-J99/J109),J100-J117)</f>
        <v>182.18986484835705</v>
      </c>
      <c r="K101" s="224">
        <f>IF(N(dt_Case)=Sensitivities!$O$51,K100*(1-K99/K109),K100-K117)</f>
        <v>188.56651011804948</v>
      </c>
      <c r="L101" s="224">
        <f>IF(N(dt_Case)=Sensitivities!$O$51,L100*(1-L99/L109),L100-L117)</f>
        <v>195.16633797218122</v>
      </c>
      <c r="M101" s="224">
        <f>IF(N(dt_Case)=Sensitivities!$O$51,M100*(1-M99/M109),M100-M117)</f>
        <v>201.99715980120754</v>
      </c>
      <c r="N101" s="224">
        <f>IF(N(dt_Case)=Sensitivities!$O$51,N100*(1-N99/N109),N100-N117)</f>
        <v>209.06706039424975</v>
      </c>
      <c r="O101" s="224">
        <f>IF(N(dt_Case)=Sensitivities!$O$51,O100*(1-O99/O109),O100-O117)</f>
        <v>216.3844075080485</v>
      </c>
    </row>
    <row r="102" spans="4:15" x14ac:dyDescent="0.2">
      <c r="D102" s="4" t="s">
        <v>1115</v>
      </c>
      <c r="F102" s="224">
        <f>IF(F$98&lt;=$E$111,F101*Model!$Q$160/(1+$E$10)^(F$98-MidYear),0)</f>
        <v>52.488969755159516</v>
      </c>
      <c r="G102" s="224">
        <f>IF(G$98&lt;=$E$111,G101*Model!$Q$160/(1+$E$10)^(G$98-MidYear),0)</f>
        <v>52.040110843169209</v>
      </c>
      <c r="H102" s="224">
        <f>IF(H$98&lt;=$E$111,H101*Model!$Q$160/(1+$E$10)^(H$98-MidYear),0)</f>
        <v>51.065928300569382</v>
      </c>
      <c r="I102" s="224">
        <f>IF(I$98&lt;=$E$111,I101*Model!$Q$160/(1+$E$10)^(I$98-MidYear),0)</f>
        <v>49.590836667297907</v>
      </c>
      <c r="J102" s="224">
        <f>IF(J$98&lt;=$E$111,J101*Model!$Q$160/(1+$E$10)^(J$98-MidYear),0)</f>
        <v>47.654309892022006</v>
      </c>
      <c r="K102" s="224">
        <f>IF(K$98&lt;=$E$111,K101*Model!$Q$160/(1+$E$10)^(K$98-MidYear),0)</f>
        <v>44.965093206530014</v>
      </c>
      <c r="L102" s="224">
        <f>IF(L$98&lt;=$E$111,L101*Model!$Q$160/(1+$E$10)^(L$98-MidYear),0)</f>
        <v>42.427633757642965</v>
      </c>
      <c r="M102" s="224">
        <f>IF(M$98&lt;=$E$111,M101*Model!$Q$160/(1+$E$10)^(M$98-MidYear),0)</f>
        <v>40.033367617066695</v>
      </c>
      <c r="N102" s="224">
        <f>IF(N$98&lt;=$E$111,N101*Model!$Q$160/(1+$E$10)^(N$98-MidYear),0)</f>
        <v>37.774214134072409</v>
      </c>
      <c r="O102" s="224">
        <f>IF(O$98&lt;=$E$111,O101*Model!$Q$160/(1+$E$10)^(O$98-MidYear),0)</f>
        <v>35.642548663291947</v>
      </c>
    </row>
    <row r="103" spans="4:15" x14ac:dyDescent="0.2">
      <c r="D103" s="4" t="s">
        <v>1116</v>
      </c>
      <c r="E103" s="224">
        <f>SUM(F102:O102)</f>
        <v>453.68301283682212</v>
      </c>
    </row>
    <row r="104" spans="4:15" x14ac:dyDescent="0.2">
      <c r="D104" s="4" t="s">
        <v>1117</v>
      </c>
      <c r="E104" s="224">
        <f>IF($E$111=0,$E$34,INDEX(F100:O100,$E$111))*(1+Model!$F$25)*(1-Model!$F$25/Inputs!$K$186)</f>
        <v>151.67683010871312</v>
      </c>
    </row>
    <row r="105" spans="4:15" x14ac:dyDescent="0.2">
      <c r="D105" s="4" t="s">
        <v>1118</v>
      </c>
      <c r="E105" s="224">
        <f>E104/(E10-Model!$F$25)*Model!$Q$160/(1+E10)^($E$111-MidYear)</f>
        <v>403.61879672340086</v>
      </c>
    </row>
    <row r="106" spans="4:15" x14ac:dyDescent="0.2">
      <c r="D106" s="4" t="s">
        <v>1119</v>
      </c>
      <c r="E106" s="224">
        <f>E103+E105</f>
        <v>857.30180956022298</v>
      </c>
    </row>
    <row r="108" spans="4:15" x14ac:dyDescent="0.2">
      <c r="D108" s="11" t="s">
        <v>1972</v>
      </c>
    </row>
    <row r="109" spans="4:15" ht="25.5" x14ac:dyDescent="0.2">
      <c r="D109" s="36" t="s">
        <v>1843</v>
      </c>
      <c r="E109" s="4"/>
      <c r="F109" s="102">
        <f>IF(Inputs!$K$196&lt;=1,Inputs!$K$186,Inputs!$K$186+(Inputs!$K$195-Inputs!$K$186)*MAX(0,Inputs!$K$196-F$98)/(Inputs!$K$196-1))</f>
        <v>0.2</v>
      </c>
      <c r="G109" s="102">
        <f>IF(Inputs!$K$196&lt;=1,Inputs!$K$186,Inputs!$K$186+(Inputs!$K$195-Inputs!$K$186)*MAX(0,Inputs!$K$196-G$98)/(Inputs!$K$196-1))</f>
        <v>0.18854444444444446</v>
      </c>
      <c r="H109" s="102">
        <f>IF(Inputs!$K$196&lt;=1,Inputs!$K$186,Inputs!$K$186+(Inputs!$K$195-Inputs!$K$186)*MAX(0,Inputs!$K$196-H$98)/(Inputs!$K$196-1))</f>
        <v>0.17708888888888891</v>
      </c>
      <c r="I109" s="102">
        <f>IF(Inputs!$K$196&lt;=1,Inputs!$K$186,Inputs!$K$186+(Inputs!$K$195-Inputs!$K$186)*MAX(0,Inputs!$K$196-I$98)/(Inputs!$K$196-1))</f>
        <v>0.16563333333333335</v>
      </c>
      <c r="J109" s="102">
        <f>IF(Inputs!$K$196&lt;=1,Inputs!$K$186,Inputs!$K$186+(Inputs!$K$195-Inputs!$K$186)*MAX(0,Inputs!$K$196-J$98)/(Inputs!$K$196-1))</f>
        <v>0.1541777777777778</v>
      </c>
      <c r="K109" s="102">
        <f>IF(Inputs!$K$196&lt;=1,Inputs!$K$186,Inputs!$K$186+(Inputs!$K$195-Inputs!$K$186)*MAX(0,Inputs!$K$196-K$98)/(Inputs!$K$196-1))</f>
        <v>0.14272222222222222</v>
      </c>
      <c r="L109" s="102">
        <f>IF(Inputs!$K$196&lt;=1,Inputs!$K$186,Inputs!$K$186+(Inputs!$K$195-Inputs!$K$186)*MAX(0,Inputs!$K$196-L$98)/(Inputs!$K$196-1))</f>
        <v>0.13126666666666667</v>
      </c>
      <c r="M109" s="102">
        <f>IF(Inputs!$K$196&lt;=1,Inputs!$K$186,Inputs!$K$186+(Inputs!$K$195-Inputs!$K$186)*MAX(0,Inputs!$K$196-M$98)/(Inputs!$K$196-1))</f>
        <v>0.11981111111111112</v>
      </c>
      <c r="N109" s="102">
        <f>IF(Inputs!$K$196&lt;=1,Inputs!$K$186,Inputs!$K$186+(Inputs!$K$195-Inputs!$K$186)*MAX(0,Inputs!$K$196-N$98)/(Inputs!$K$196-1))</f>
        <v>0.10835555555555555</v>
      </c>
      <c r="O109" s="102">
        <f>IF(Inputs!$K$196&lt;=1,Inputs!$K$186,Inputs!$K$186+(Inputs!$K$195-Inputs!$K$186)*MAX(0,Inputs!$K$196-O$98)/(Inputs!$K$196-1))</f>
        <v>9.69E-2</v>
      </c>
    </row>
    <row r="110" spans="4:15" x14ac:dyDescent="0.2">
      <c r="D110" s="4" t="s">
        <v>1844</v>
      </c>
      <c r="E110" s="4"/>
      <c r="F110" s="102">
        <f t="shared" ref="F110:O110" si="1">1-F101/F100</f>
        <v>0.12293467402008129</v>
      </c>
      <c r="G110" s="102">
        <f t="shared" si="1"/>
        <v>0.10690657415957117</v>
      </c>
      <c r="H110" s="102">
        <f t="shared" si="1"/>
        <v>9.0544847181458721E-2</v>
      </c>
      <c r="I110" s="102">
        <f t="shared" si="1"/>
        <v>7.3838966790636285E-2</v>
      </c>
      <c r="J110" s="102">
        <f t="shared" si="1"/>
        <v>5.6777959164059921E-2</v>
      </c>
      <c r="K110" s="102">
        <f t="shared" si="1"/>
        <v>5.6777959164060143E-2</v>
      </c>
      <c r="L110" s="102">
        <f t="shared" si="1"/>
        <v>5.6777959164059921E-2</v>
      </c>
      <c r="M110" s="102">
        <f t="shared" si="1"/>
        <v>5.6777959164059921E-2</v>
      </c>
      <c r="N110" s="102">
        <f t="shared" si="1"/>
        <v>5.6777959164060143E-2</v>
      </c>
      <c r="O110" s="102">
        <f t="shared" si="1"/>
        <v>5.6777959164060032E-2</v>
      </c>
    </row>
    <row r="111" spans="4:15" ht="25.5" x14ac:dyDescent="0.2">
      <c r="D111" s="36" t="s">
        <v>1971</v>
      </c>
      <c r="E111" s="107">
        <f>MAX(MIN(10,Inputs!$K$187),MIN(10,Inputs!$K$196))</f>
        <v>10</v>
      </c>
      <c r="F111" s="4"/>
      <c r="G111" s="4"/>
      <c r="H111" s="4"/>
      <c r="I111" s="4"/>
      <c r="J111" s="4"/>
      <c r="K111" s="4"/>
      <c r="L111" s="4"/>
      <c r="M111" s="4"/>
      <c r="N111" s="4"/>
      <c r="O111" s="4"/>
    </row>
    <row r="112" spans="4:15" x14ac:dyDescent="0.2">
      <c r="D112" s="4" t="s">
        <v>1465</v>
      </c>
      <c r="E112" s="130">
        <f>E38/E34</f>
        <v>14.75831843159841</v>
      </c>
      <c r="F112" s="4"/>
      <c r="G112" s="4"/>
      <c r="H112" s="4"/>
      <c r="I112" s="4"/>
      <c r="J112" s="4"/>
      <c r="K112" s="4"/>
      <c r="L112" s="4"/>
      <c r="M112" s="4"/>
      <c r="N112" s="4"/>
      <c r="O112" s="4"/>
    </row>
    <row r="114" spans="2:15" x14ac:dyDescent="0.2">
      <c r="B114" s="5" t="s">
        <v>8</v>
      </c>
      <c r="C114" s="5" t="s">
        <v>8</v>
      </c>
      <c r="D114" s="72" t="s">
        <v>1973</v>
      </c>
      <c r="E114" s="167"/>
      <c r="F114" s="167"/>
      <c r="G114" s="167"/>
      <c r="H114" s="167"/>
      <c r="I114" s="167"/>
      <c r="J114" s="167"/>
      <c r="K114" s="167"/>
      <c r="L114" s="167"/>
      <c r="M114" s="167"/>
      <c r="N114" s="167"/>
      <c r="O114" s="167"/>
    </row>
    <row r="115" spans="2:15" x14ac:dyDescent="0.2">
      <c r="D115" s="36" t="s">
        <v>1848</v>
      </c>
      <c r="E115" s="149">
        <f>IF(N(dt_Case)=19,Inputs!$K$193,IF(N(dt_Case)=20,Inputs!$K$194,Inputs!$K$192))</f>
        <v>3</v>
      </c>
    </row>
    <row r="116" spans="2:15" x14ac:dyDescent="0.2">
      <c r="D116" s="4" t="s">
        <v>1849</v>
      </c>
      <c r="F116" s="224">
        <f>Model!$Q$35*(1+F99)</f>
        <v>796.09212533989705</v>
      </c>
      <c r="G116" s="224">
        <f t="shared" ref="G116:O116" si="2">F116*(1+G99)</f>
        <v>850.22834272874093</v>
      </c>
      <c r="H116" s="224">
        <f t="shared" si="2"/>
        <v>898.69274870787319</v>
      </c>
      <c r="I116" s="224">
        <f t="shared" si="2"/>
        <v>940.03334999901176</v>
      </c>
      <c r="J116" s="224">
        <f t="shared" si="2"/>
        <v>972.93451724897704</v>
      </c>
      <c r="K116" s="224">
        <f t="shared" si="2"/>
        <v>1006.9872253526912</v>
      </c>
      <c r="L116" s="224">
        <f t="shared" si="2"/>
        <v>1042.2317782400353</v>
      </c>
      <c r="M116" s="224">
        <f t="shared" si="2"/>
        <v>1078.7098904784364</v>
      </c>
      <c r="N116" s="224">
        <f t="shared" si="2"/>
        <v>1116.4647366451816</v>
      </c>
      <c r="O116" s="224">
        <f t="shared" si="2"/>
        <v>1155.5410024277628</v>
      </c>
    </row>
    <row r="117" spans="2:15" x14ac:dyDescent="0.2">
      <c r="D117" s="4" t="s">
        <v>1850</v>
      </c>
      <c r="F117" s="224">
        <f>(F116-Model!$Q$35)/$E$115</f>
        <v>19.429623439700169</v>
      </c>
      <c r="G117" s="224">
        <f t="shared" ref="G117:O117" si="3">(G116-F116)/$E$115</f>
        <v>18.04540579628129</v>
      </c>
      <c r="H117" s="224">
        <f t="shared" si="3"/>
        <v>16.154801993044089</v>
      </c>
      <c r="I117" s="224">
        <f t="shared" si="3"/>
        <v>13.780200430379523</v>
      </c>
      <c r="J117" s="224">
        <f t="shared" si="3"/>
        <v>10.967055749988427</v>
      </c>
      <c r="K117" s="224">
        <f t="shared" si="3"/>
        <v>11.350902701238056</v>
      </c>
      <c r="L117" s="224">
        <f t="shared" si="3"/>
        <v>11.748184295781357</v>
      </c>
      <c r="M117" s="224">
        <f t="shared" si="3"/>
        <v>12.159370746133694</v>
      </c>
      <c r="N117" s="224">
        <f t="shared" si="3"/>
        <v>12.584948722248404</v>
      </c>
      <c r="O117" s="224">
        <f t="shared" si="3"/>
        <v>13.025421927527077</v>
      </c>
    </row>
    <row r="118" spans="2:15" x14ac:dyDescent="0.2">
      <c r="D118" s="4" t="s">
        <v>1851</v>
      </c>
      <c r="F118" s="216">
        <f t="shared" ref="F118:O118" si="4">F117/F100</f>
        <v>0.12293467402008119</v>
      </c>
      <c r="G118" s="216">
        <f t="shared" si="4"/>
        <v>0.10690657415957107</v>
      </c>
      <c r="H118" s="216">
        <f t="shared" si="4"/>
        <v>9.0544847181458721E-2</v>
      </c>
      <c r="I118" s="216">
        <f t="shared" si="4"/>
        <v>7.3838966790636312E-2</v>
      </c>
      <c r="J118" s="216">
        <f t="shared" si="4"/>
        <v>5.6777959164059942E-2</v>
      </c>
      <c r="K118" s="216">
        <f t="shared" si="4"/>
        <v>5.6777959164060116E-2</v>
      </c>
      <c r="L118" s="216">
        <f t="shared" si="4"/>
        <v>5.677795916405997E-2</v>
      </c>
      <c r="M118" s="216">
        <f t="shared" si="4"/>
        <v>5.6777959164059928E-2</v>
      </c>
      <c r="N118" s="216">
        <f t="shared" si="4"/>
        <v>5.6777959164060074E-2</v>
      </c>
      <c r="O118" s="216">
        <f t="shared" si="4"/>
        <v>5.6777959164059991E-2</v>
      </c>
    </row>
    <row r="119" spans="2:15" ht="25.5" x14ac:dyDescent="0.2">
      <c r="D119" s="172" t="s">
        <v>1910</v>
      </c>
      <c r="F119" s="102">
        <f>IF(F117=0,0,(F100-$E$34)/F117)</f>
        <v>0.59559071193559832</v>
      </c>
      <c r="G119" s="102">
        <f t="shared" ref="G119:O119" si="5">IF(G117=0,0,(G100-F100)/G117)</f>
        <v>0.59559071193559954</v>
      </c>
      <c r="H119" s="102">
        <f t="shared" si="5"/>
        <v>0.59559071193559843</v>
      </c>
      <c r="I119" s="102">
        <f t="shared" si="5"/>
        <v>0.59559071193559943</v>
      </c>
      <c r="J119" s="102">
        <f t="shared" si="5"/>
        <v>0.59559071193559976</v>
      </c>
      <c r="K119" s="102">
        <f t="shared" si="5"/>
        <v>0.59559071193559743</v>
      </c>
      <c r="L119" s="102">
        <f t="shared" si="5"/>
        <v>0.59559071193559943</v>
      </c>
      <c r="M119" s="102">
        <f t="shared" si="5"/>
        <v>0.59559071193559932</v>
      </c>
      <c r="N119" s="102">
        <f t="shared" si="5"/>
        <v>0.59559071193559754</v>
      </c>
      <c r="O119" s="102">
        <f t="shared" si="5"/>
        <v>0.59559071193559876</v>
      </c>
    </row>
    <row r="120" spans="2:15" x14ac:dyDescent="0.2">
      <c r="B120" s="5" t="s">
        <v>8</v>
      </c>
      <c r="C120" s="5" t="s">
        <v>8</v>
      </c>
      <c r="D120" s="72" t="s">
        <v>1852</v>
      </c>
      <c r="E120" s="167"/>
      <c r="F120" s="167"/>
      <c r="G120" s="167"/>
      <c r="H120" s="167"/>
      <c r="I120" s="167"/>
      <c r="J120" s="167"/>
      <c r="K120" s="167"/>
      <c r="L120" s="167"/>
      <c r="M120" s="167"/>
      <c r="N120" s="167"/>
      <c r="O120" s="167"/>
    </row>
    <row r="121" spans="2:15" x14ac:dyDescent="0.2">
      <c r="F121" s="64" t="s">
        <v>1693</v>
      </c>
      <c r="G121" s="64" t="s">
        <v>1853</v>
      </c>
      <c r="H121" s="64" t="s">
        <v>1854</v>
      </c>
      <c r="I121" s="64" t="s">
        <v>1855</v>
      </c>
    </row>
    <row r="122" spans="2:15" x14ac:dyDescent="0.2">
      <c r="D122" s="4" t="s">
        <v>204</v>
      </c>
      <c r="E122" s="4"/>
      <c r="F122" s="14">
        <f>Model!$Q$69</f>
        <v>146.47625530874612</v>
      </c>
      <c r="G122" s="73">
        <f>F100</f>
        <v>158.04835856583773</v>
      </c>
      <c r="H122" s="73">
        <f>O100</f>
        <v>229.40982943557557</v>
      </c>
      <c r="I122" s="73">
        <f>IF($E$111=0,$E$34,INDEX(F100:O100,$E$111))*(1+Model!$F$25)</f>
        <v>237.43917346582069</v>
      </c>
    </row>
    <row r="123" spans="2:15" x14ac:dyDescent="0.2">
      <c r="D123" s="4" t="s">
        <v>1856</v>
      </c>
      <c r="E123" s="4"/>
      <c r="F123" s="73">
        <f>F122-F124</f>
        <v>4.9074577492525577</v>
      </c>
      <c r="G123" s="73">
        <f>G122-G124</f>
        <v>19.42962343970018</v>
      </c>
      <c r="H123" s="73">
        <f>H122-H124</f>
        <v>13.025421927527077</v>
      </c>
      <c r="I123" s="73">
        <f>I122-I124</f>
        <v>85.762343357107568</v>
      </c>
    </row>
    <row r="124" spans="2:15" x14ac:dyDescent="0.2">
      <c r="D124" s="11" t="s">
        <v>1857</v>
      </c>
      <c r="E124" s="11"/>
      <c r="F124" s="169">
        <f>Model!$Q$74</f>
        <v>141.56879755949356</v>
      </c>
      <c r="G124" s="170">
        <f>F101</f>
        <v>138.61873512613755</v>
      </c>
      <c r="H124" s="170">
        <f>O101</f>
        <v>216.3844075080485</v>
      </c>
      <c r="I124" s="170">
        <f>E104</f>
        <v>151.67683010871312</v>
      </c>
    </row>
    <row r="125" spans="2:15" x14ac:dyDescent="0.2">
      <c r="D125" s="4" t="s">
        <v>1858</v>
      </c>
      <c r="E125" s="4"/>
      <c r="F125" s="102">
        <f>F123/F122</f>
        <v>3.3503435344578558E-2</v>
      </c>
      <c r="G125" s="102">
        <f>G123/G122</f>
        <v>0.12293467402008126</v>
      </c>
      <c r="H125" s="102">
        <f>H123/H122</f>
        <v>5.6777959164059991E-2</v>
      </c>
      <c r="I125" s="102">
        <f>I123/I122</f>
        <v>0.36119711042311659</v>
      </c>
    </row>
    <row r="126" spans="2:15" x14ac:dyDescent="0.2">
      <c r="D126" s="7" t="s">
        <v>2194</v>
      </c>
    </row>
    <row r="127" spans="2:15" x14ac:dyDescent="0.2">
      <c r="D127" s="7" t="s">
        <v>1859</v>
      </c>
    </row>
    <row r="128" spans="2:15" ht="27" customHeight="1" x14ac:dyDescent="0.2">
      <c r="D128" s="365" t="str">
        <f>"Method note: the sales-to-capital rule assumes this capital is additional to expensed training. The implied incremental return is about "&amp;TEXT($F$119,"0%")&amp;" in the live case (row 119), followed by "&amp;TEXT($E$10,"0.00%")&amp;" in perpetuity. The FY2047 cash-flow step-down of about "&amp;TEXT(1-$I$124/$H$124,"0%")&amp;" is the convergence assumption."</f>
        <v>Method note: the sales-to-capital rule assumes this capital is additional to expensed training. The implied incremental return is about 60% in the live case (row 119), followed by 9.69% in perpetuity. The FY2047 cash-flow step-down of about 30% is the convergence assumption.</v>
      </c>
      <c r="E128" s="365"/>
      <c r="F128" s="365"/>
      <c r="G128" s="365"/>
      <c r="H128" s="365"/>
      <c r="I128" s="365"/>
      <c r="J128" s="365"/>
      <c r="K128" s="365"/>
      <c r="L128" s="365"/>
      <c r="M128" s="365"/>
      <c r="N128" s="365"/>
      <c r="O128" s="365"/>
    </row>
  </sheetData>
  <mergeCells count="1">
    <mergeCell ref="D128:O128"/>
  </mergeCells>
  <pageMargins left="0.75" right="0.75" top="1" bottom="1" header="0.5" footer="0.5"/>
  <pageSetup scale="69" fitToHeight="0" orientation="landscape"/>
  <headerFooter>
    <oddFooter>&amp;C&amp;A, 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FFC000"/>
    <pageSetUpPr fitToPage="1"/>
  </sheetPr>
  <dimension ref="A1:K85"/>
  <sheetViews>
    <sheetView showGridLines="0" workbookViewId="0">
      <pane xSplit="4" ySplit="5" topLeftCell="E6" activePane="bottomRight" state="frozenSplit"/>
      <selection pane="topRight" activeCell="E1" sqref="E1"/>
      <selection pane="bottomLeft" activeCell="A6" sqref="A6"/>
      <selection pane="bottomRight"/>
    </sheetView>
  </sheetViews>
  <sheetFormatPr defaultRowHeight="12.75" x14ac:dyDescent="0.2"/>
  <cols>
    <col min="1" max="3" width="2.7109375" style="10" customWidth="1"/>
    <col min="4" max="4" width="60.7109375" style="10" customWidth="1"/>
    <col min="5" max="11" width="15.7109375" style="10" customWidth="1"/>
    <col min="12" max="16384" width="9.140625" style="10"/>
  </cols>
  <sheetData>
    <row r="1" spans="1:11" ht="18" x14ac:dyDescent="0.25">
      <c r="A1" s="178" t="s">
        <v>2148</v>
      </c>
    </row>
    <row r="2" spans="1:11" ht="15" x14ac:dyDescent="0.25">
      <c r="A2" s="179" t="s">
        <v>0</v>
      </c>
    </row>
    <row r="3" spans="1:11" x14ac:dyDescent="0.2">
      <c r="A3" s="10" t="s">
        <v>2278</v>
      </c>
    </row>
    <row r="5" spans="1:11" ht="38.25" x14ac:dyDescent="0.2">
      <c r="D5" s="11" t="s">
        <v>1943</v>
      </c>
      <c r="E5" s="166" t="s">
        <v>1944</v>
      </c>
      <c r="F5" s="166" t="s">
        <v>2</v>
      </c>
      <c r="G5" s="166" t="s">
        <v>1945</v>
      </c>
      <c r="H5" s="166" t="s">
        <v>1137</v>
      </c>
      <c r="I5" s="166" t="s">
        <v>1138</v>
      </c>
      <c r="J5" s="166" t="s">
        <v>1824</v>
      </c>
      <c r="K5" s="166" t="s">
        <v>1795</v>
      </c>
    </row>
    <row r="6" spans="1:11" x14ac:dyDescent="0.2">
      <c r="D6" s="4" t="s">
        <v>5</v>
      </c>
      <c r="E6" s="87">
        <f>Sensitivities!$F$18</f>
        <v>14.190657849216866</v>
      </c>
      <c r="F6" s="87">
        <f>Sensitivities!$G$18</f>
        <v>82.237886931210411</v>
      </c>
      <c r="G6" s="87">
        <f>Sensitivities!$H$18</f>
        <v>181.12115013857618</v>
      </c>
      <c r="H6" s="87">
        <f>Sensitivities!$I$18</f>
        <v>16.698088546361145</v>
      </c>
      <c r="I6" s="87">
        <f>Sensitivities!$J$18</f>
        <v>34.672453989977669</v>
      </c>
      <c r="J6" s="87">
        <f>Sensitivities!$K$18</f>
        <v>122.08638966243501</v>
      </c>
      <c r="K6" s="87">
        <f>Moonshot!$F$108</f>
        <v>165.80522865773676</v>
      </c>
    </row>
    <row r="7" spans="1:11" x14ac:dyDescent="0.2">
      <c r="D7" s="4" t="s">
        <v>4</v>
      </c>
      <c r="E7" s="133">
        <f>Sensitivities!$F$17</f>
        <v>239.4783052865229</v>
      </c>
      <c r="F7" s="133">
        <f>Sensitivities!$G$17</f>
        <v>1415.584379662298</v>
      </c>
      <c r="G7" s="133">
        <f>Sensitivities!$H$17</f>
        <v>3180.0442124764832</v>
      </c>
      <c r="H7" s="135">
        <f>Sensitivities!$I$17</f>
        <v>281.79313384175123</v>
      </c>
      <c r="I7" s="104">
        <f>Sensitivities!$J$17</f>
        <v>585.12442551090192</v>
      </c>
      <c r="J7" s="104">
        <f>Sensitivities!$K$17</f>
        <v>2143.5382702193083</v>
      </c>
      <c r="K7" s="104">
        <f>Moonshot!$F$109</f>
        <v>2911.1341076840658</v>
      </c>
    </row>
    <row r="8" spans="1:11" x14ac:dyDescent="0.2">
      <c r="D8" s="4" t="s">
        <v>2279</v>
      </c>
      <c r="E8" s="134">
        <f>Inputs!F$28</f>
        <v>0</v>
      </c>
      <c r="F8" s="134">
        <f>Inputs!G$28</f>
        <v>0.45</v>
      </c>
      <c r="G8" s="134">
        <f>Inputs!H$28</f>
        <v>0</v>
      </c>
      <c r="H8" s="136">
        <f>Inputs!I$28</f>
        <v>0.15</v>
      </c>
      <c r="I8" s="137">
        <f>Inputs!J$28</f>
        <v>0.15</v>
      </c>
      <c r="J8" s="137">
        <f>Inputs!$L$53</f>
        <v>0.2</v>
      </c>
      <c r="K8" s="137">
        <f>Inputs!$L$54</f>
        <v>0.05</v>
      </c>
    </row>
    <row r="9" spans="1:11" x14ac:dyDescent="0.2">
      <c r="D9" s="10" t="s">
        <v>1928</v>
      </c>
      <c r="E9" s="103">
        <f>E7/Inputs!K256-1</f>
        <v>-0.84034779647565139</v>
      </c>
      <c r="F9" s="103">
        <f>F7/Inputs!K256-1</f>
        <v>-5.6277080225134668E-2</v>
      </c>
      <c r="G9" s="103">
        <f>G7/Inputs!K256-1</f>
        <v>1.1200294749843223</v>
      </c>
      <c r="H9" s="103">
        <f>H7/Inputs!K256-1</f>
        <v>-0.81213791077216579</v>
      </c>
      <c r="I9" s="103">
        <f>I7/Inputs!K256-1</f>
        <v>-0.60991704965939875</v>
      </c>
      <c r="J9" s="103">
        <f>J7/Inputs!K256-1</f>
        <v>0.42902551347953888</v>
      </c>
      <c r="K9" s="103">
        <f>K7/Inputs!K256-1</f>
        <v>0.94075607178937726</v>
      </c>
    </row>
    <row r="10" spans="1:11" x14ac:dyDescent="0.2">
      <c r="D10" s="10" t="s">
        <v>1929</v>
      </c>
      <c r="E10" s="104">
        <f>'Dilution Calcs'!$I$48*(1+'Dilution Calcs'!$I$49)^Inputs!$F$25</f>
        <v>16875.771922</v>
      </c>
      <c r="F10" s="104">
        <f>'Dilution Calcs'!$I$48*(1+'Dilution Calcs'!$I$49)^Inputs!$G$25</f>
        <v>17213.287360440001</v>
      </c>
      <c r="G10" s="104">
        <f>'Dilution Calcs'!$I$48*(1+'Dilution Calcs'!$I$49)^Inputs!$H$25</f>
        <v>17557.553107648801</v>
      </c>
      <c r="H10" s="104">
        <f>'Dilution Calcs'!$I$48*(1+'Dilution Calcs'!$I$49)^Inputs!$I$25</f>
        <v>16875.771922</v>
      </c>
      <c r="I10" s="104">
        <f>'Dilution Calcs'!$I$48*(1+'Dilution Calcs'!$I$49)^Inputs!$J$25</f>
        <v>16875.771922</v>
      </c>
      <c r="J10" s="99">
        <f>G10</f>
        <v>17557.553107648801</v>
      </c>
      <c r="K10" s="99">
        <f>G10</f>
        <v>17557.553107648801</v>
      </c>
    </row>
    <row r="12" spans="1:11" x14ac:dyDescent="0.2">
      <c r="B12" s="5" t="s">
        <v>8</v>
      </c>
      <c r="C12" s="5" t="s">
        <v>8</v>
      </c>
      <c r="D12" s="6" t="s">
        <v>2280</v>
      </c>
      <c r="E12" s="95"/>
      <c r="F12" s="95"/>
      <c r="G12" s="95"/>
      <c r="H12" s="95"/>
      <c r="I12" s="95"/>
      <c r="J12" s="95"/>
      <c r="K12" s="95"/>
    </row>
    <row r="13" spans="1:11" ht="25.5" x14ac:dyDescent="0.2">
      <c r="D13" s="252" t="s">
        <v>2281</v>
      </c>
      <c r="E13" s="251">
        <f>ROUND(Summary!E14,0)</f>
        <v>77</v>
      </c>
      <c r="F13" s="13" t="str">
        <f>TEXT(_xlfn.AGGREGATE(15,6,Summary!$E$6:$K$6/(Summary!$E$8:$K$8&gt;0),1),"$0;-$0")&amp;" to "&amp;TEXT(_xlfn.AGGREGATE(14,6,Summary!$E$6:$K$6/(Summary!$E$8:$K$8&gt;0),1),"$0;-$0")&amp;" across the "&amp;COUNTIF(Summary!$E$8:$K$8,"&gt;0")&amp;" weighted cases"</f>
        <v>$17 to $166 across the 5 weighted cases</v>
      </c>
      <c r="G13" s="13" t="str">
        <f>"Plan case $"&amp;TEXT(Summary!G46,"0")&amp;" (what you have to believe)"</f>
        <v>Plan case $87 (what you have to believe)</v>
      </c>
    </row>
    <row r="14" spans="1:11" x14ac:dyDescent="0.2">
      <c r="D14" s="172" t="s">
        <v>1946</v>
      </c>
      <c r="E14" s="87">
        <f>SUMPRODUCT(Summary!$E$6:$K$6,Summary!$E$8:$K$8)/SUM(Summary!$E$8:$K$8)</f>
        <v>77.420169864869351</v>
      </c>
      <c r="F14" s="87">
        <f>SUMPRODUCT(Summary!$E$6:$K$6,Summary!$E$16:$K$16)/SUM(Summary!$E$16:$K$16)</f>
        <v>48.501306125585387</v>
      </c>
      <c r="G14" s="87">
        <f>SUMPRODUCT(Summary!$E$6:$K$6,Summary!$E$17:$K$17)/SUM(Summary!$E$17:$K$17)</f>
        <v>79.604924698727132</v>
      </c>
    </row>
    <row r="15" spans="1:11" x14ac:dyDescent="0.2">
      <c r="D15" s="36" t="s">
        <v>1947</v>
      </c>
      <c r="E15" s="104">
        <f>SUMPRODUCT(Summary!$E$7:$K$7,Summary!$E$8:$K$8)/SUM(Summary!$E$8:$K$8)</f>
        <v>1341.3149641789969</v>
      </c>
      <c r="F15" s="104">
        <f>SUMPRODUCT(Summary!$E$7:$K$7,Summary!$E$16:$K$16)/SUM(Summary!$E$16:$K$16)</f>
        <v>832.37358503165058</v>
      </c>
      <c r="G15" s="104">
        <f>SUMPRODUCT(Summary!$E$7:$K$7,Summary!$E$17:$K$17)/SUM(Summary!$E$17:$K$17)</f>
        <v>1380.8558645411795</v>
      </c>
    </row>
    <row r="16" spans="1:11" x14ac:dyDescent="0.2">
      <c r="D16" s="4" t="s">
        <v>1948</v>
      </c>
      <c r="E16" s="90">
        <v>0</v>
      </c>
      <c r="F16" s="90">
        <v>0.35</v>
      </c>
      <c r="G16" s="90">
        <v>0</v>
      </c>
      <c r="H16" s="90">
        <v>0.4</v>
      </c>
      <c r="I16" s="91">
        <v>0.2</v>
      </c>
      <c r="J16" s="91">
        <v>0.05</v>
      </c>
      <c r="K16" s="91">
        <v>0</v>
      </c>
    </row>
    <row r="17" spans="2:11" x14ac:dyDescent="0.2">
      <c r="D17" s="4" t="s">
        <v>1949</v>
      </c>
      <c r="E17" s="89">
        <v>0</v>
      </c>
      <c r="F17" s="89">
        <v>0.45</v>
      </c>
      <c r="G17" s="89">
        <v>0</v>
      </c>
      <c r="H17" s="89">
        <v>0.15</v>
      </c>
      <c r="I17" s="88">
        <v>0.1</v>
      </c>
      <c r="J17" s="88">
        <v>0.3</v>
      </c>
      <c r="K17" s="88">
        <v>0</v>
      </c>
    </row>
    <row r="18" spans="2:11" x14ac:dyDescent="0.2">
      <c r="D18" s="4" t="s">
        <v>2290</v>
      </c>
      <c r="E18" s="84">
        <f>ROUND(_xlfn.AGGREGATE(15,6,Summary!$E$6:$K$6/(Summary!$E$8:$K$8&gt;0),1)/5,0)*5</f>
        <v>15</v>
      </c>
      <c r="F18" s="84">
        <f>ROUND(_xlfn.AGGREGATE(14,6,Summary!$E$6:$K$6/(Summary!$E$8:$K$8&gt;0),1)/5,0)*5</f>
        <v>165</v>
      </c>
    </row>
    <row r="19" spans="2:11" ht="67.5" customHeight="1" x14ac:dyDescent="0.2">
      <c r="D19" s="365" t="s">
        <v>2282</v>
      </c>
      <c r="E19" s="365"/>
      <c r="F19" s="365"/>
      <c r="G19" s="365"/>
      <c r="H19" s="365"/>
      <c r="I19" s="365"/>
      <c r="J19" s="365"/>
      <c r="K19" s="365"/>
    </row>
    <row r="21" spans="2:11" x14ac:dyDescent="0.2">
      <c r="B21" s="5" t="s">
        <v>8</v>
      </c>
      <c r="C21" s="5" t="s">
        <v>8</v>
      </c>
      <c r="D21" s="6" t="s">
        <v>1930</v>
      </c>
      <c r="E21" s="95"/>
      <c r="F21" s="95"/>
      <c r="G21" s="95"/>
      <c r="H21" s="95"/>
      <c r="I21" s="95"/>
      <c r="J21" s="95"/>
      <c r="K21" s="95"/>
    </row>
    <row r="22" spans="2:11" x14ac:dyDescent="0.2">
      <c r="D22" s="10" t="s">
        <v>911</v>
      </c>
      <c r="E22" s="110">
        <f>Sensitivities!$F$36</f>
        <v>104.14710969778609</v>
      </c>
      <c r="F22" s="110">
        <f>Sensitivities!$G$36</f>
        <v>127.82748148511058</v>
      </c>
      <c r="G22" s="110">
        <f>Sensitivities!$H$36</f>
        <v>145.64737049929082</v>
      </c>
      <c r="H22" s="110">
        <f>Sensitivities!$I$36</f>
        <v>105.51684597136254</v>
      </c>
      <c r="I22" s="110">
        <f>Sensitivities!$J$36</f>
        <v>120.16281319089376</v>
      </c>
      <c r="J22" s="110">
        <f>Sensitivities!$K$36</f>
        <v>141.6092246284268</v>
      </c>
    </row>
    <row r="23" spans="2:11" x14ac:dyDescent="0.2">
      <c r="D23" s="10" t="s">
        <v>1122</v>
      </c>
      <c r="E23" s="110">
        <f>Sensitivities!$F$21</f>
        <v>135.75781823223124</v>
      </c>
      <c r="F23" s="110">
        <f>Sensitivities!$G$21</f>
        <v>410.53137216965064</v>
      </c>
      <c r="G23" s="110">
        <f>Sensitivities!$H$21</f>
        <v>671.5892788677852</v>
      </c>
      <c r="H23" s="110">
        <f>Sensitivities!$I$21</f>
        <v>182.68760258367234</v>
      </c>
      <c r="I23" s="110">
        <f>Sensitivities!$J$21</f>
        <v>279.30816664585382</v>
      </c>
      <c r="J23" s="110">
        <f>Sensitivities!$K$21</f>
        <v>575.64313614196635</v>
      </c>
    </row>
    <row r="24" spans="2:11" x14ac:dyDescent="0.2">
      <c r="D24" s="10" t="s">
        <v>1319</v>
      </c>
      <c r="E24" s="110">
        <f>Sensitivities!$F$24</f>
        <v>165.51114894402144</v>
      </c>
      <c r="F24" s="110">
        <f>Sensitivities!$G$24</f>
        <v>737.80325502079654</v>
      </c>
      <c r="G24" s="110">
        <f>Sensitivities!$H$24</f>
        <v>1400.0237233271691</v>
      </c>
      <c r="H24" s="110">
        <f>Sensitivities!$I$24</f>
        <v>247.27395704942376</v>
      </c>
      <c r="I24" s="110">
        <f>Sensitivities!$J$24</f>
        <v>391.99343047620715</v>
      </c>
      <c r="J24" s="110">
        <f>Sensitivities!$K$24</f>
        <v>1116.3944918890231</v>
      </c>
    </row>
    <row r="25" spans="2:11" x14ac:dyDescent="0.2">
      <c r="D25" s="10" t="s">
        <v>10</v>
      </c>
      <c r="E25" s="103">
        <f>Sensitivities!$F$22</f>
        <v>0.19613200417092513</v>
      </c>
      <c r="F25" s="103">
        <f>Sensitivities!$G$22</f>
        <v>0.49243495017854366</v>
      </c>
      <c r="G25" s="103">
        <f>Sensitivities!$H$22</f>
        <v>0.64682287783554937</v>
      </c>
      <c r="H25" s="103">
        <f>Sensitivities!$I$22</f>
        <v>0.26931074375654274</v>
      </c>
      <c r="I25" s="103">
        <f>Sensitivities!$J$22</f>
        <v>0.38179261593410274</v>
      </c>
      <c r="J25" s="103">
        <f>Sensitivities!$K$22</f>
        <v>0.59682310093630186</v>
      </c>
    </row>
    <row r="26" spans="2:11" x14ac:dyDescent="0.2">
      <c r="D26" s="10" t="s">
        <v>1931</v>
      </c>
      <c r="E26" s="103">
        <f>Sensitivities!$F$25</f>
        <v>0.29894346108198233</v>
      </c>
      <c r="F26" s="103">
        <f>Sensitivities!$G$25</f>
        <v>0.25783147702839776</v>
      </c>
      <c r="G26" s="103">
        <f>Sensitivities!$H$25</f>
        <v>0.31091118665162942</v>
      </c>
      <c r="H26" s="103">
        <f>Sensitivities!$I$25</f>
        <v>0.19755546544338135</v>
      </c>
      <c r="I26" s="103">
        <f>Sensitivities!$J$25</f>
        <v>0.1916887017636858</v>
      </c>
      <c r="J26" s="103">
        <f>Sensitivities!$K$25</f>
        <v>0.25680388673266397</v>
      </c>
    </row>
    <row r="27" spans="2:11" x14ac:dyDescent="0.2">
      <c r="D27" s="10" t="s">
        <v>1932</v>
      </c>
      <c r="E27" s="103">
        <f>Sensitivities!$F$37</f>
        <v>0.23463304558117626</v>
      </c>
      <c r="F27" s="103">
        <f>Sensitivities!$G$37</f>
        <v>0.37641925480474681</v>
      </c>
      <c r="G27" s="103">
        <f>Sensitivities!$H$37</f>
        <v>0.45271407312289369</v>
      </c>
      <c r="H27" s="103">
        <f>Sensitivities!$I$37</f>
        <v>0.24456843429009123</v>
      </c>
      <c r="I27" s="103">
        <f>Sensitivities!$J$37</f>
        <v>0.33664372492438976</v>
      </c>
      <c r="J27" s="103">
        <f>Sensitivities!$K$37</f>
        <v>0.43710760107561208</v>
      </c>
    </row>
    <row r="28" spans="2:11" x14ac:dyDescent="0.2">
      <c r="D28" s="10" t="s">
        <v>1323</v>
      </c>
      <c r="E28" s="103">
        <f>Sensitivities!$F$160</f>
        <v>0.38948841979679177</v>
      </c>
      <c r="F28" s="103">
        <f>Sensitivities!$G$160</f>
        <v>0.43666882645446181</v>
      </c>
      <c r="G28" s="103">
        <f>Sensitivities!$H$160</f>
        <v>0.55241547585074924</v>
      </c>
      <c r="H28" s="103">
        <f>Sensitivities!$I$160</f>
        <v>0.29267107806736226</v>
      </c>
      <c r="I28" s="103">
        <f>Sensitivities!$J$160</f>
        <v>0.23200129587267709</v>
      </c>
      <c r="J28" s="103">
        <f>Sensitivities!$K$160</f>
        <v>0.44050224592509374</v>
      </c>
    </row>
    <row r="29" spans="2:11" x14ac:dyDescent="0.2">
      <c r="D29" s="10" t="s">
        <v>1933</v>
      </c>
      <c r="E29" s="111">
        <f>Sensitivities!$F$27</f>
        <v>6</v>
      </c>
      <c r="F29" s="111">
        <f>Sensitivities!$G$27</f>
        <v>2</v>
      </c>
      <c r="G29" s="111">
        <f>Sensitivities!$H$27</f>
        <v>2</v>
      </c>
      <c r="H29" s="111">
        <f>Sensitivities!$I$27</f>
        <v>5</v>
      </c>
      <c r="I29" s="111">
        <f>Sensitivities!$J$27</f>
        <v>4</v>
      </c>
      <c r="J29" s="111">
        <f>Sensitivities!$K$27</f>
        <v>2</v>
      </c>
    </row>
    <row r="30" spans="2:11" x14ac:dyDescent="0.2">
      <c r="D30" s="10" t="s">
        <v>1328</v>
      </c>
      <c r="E30" s="110">
        <f>Sensitivities!$F$28</f>
        <v>-7.6280836342797187</v>
      </c>
      <c r="F30" s="110">
        <f>Sensitivities!$G$28</f>
        <v>133.3394383798726</v>
      </c>
      <c r="G30" s="110">
        <f>Sensitivities!$H$28</f>
        <v>133.3394383798726</v>
      </c>
      <c r="H30" s="110">
        <f>Sensitivities!$I$28</f>
        <v>73.632964445744818</v>
      </c>
      <c r="I30" s="110">
        <f>Sensitivities!$J$28</f>
        <v>133.3394383798726</v>
      </c>
      <c r="J30" s="110">
        <f>Sensitivities!$K$28</f>
        <v>133.3394383798726</v>
      </c>
    </row>
    <row r="31" spans="2:11" x14ac:dyDescent="0.2">
      <c r="D31" s="10" t="s">
        <v>1934</v>
      </c>
      <c r="E31" s="110">
        <f>Sensitivities!$F$29</f>
        <v>12.628083634279719</v>
      </c>
      <c r="F31" s="110">
        <f>Sensitivities!$G$29</f>
        <v>0</v>
      </c>
      <c r="G31" s="110">
        <f>Sensitivities!$H$29</f>
        <v>0</v>
      </c>
      <c r="H31" s="110">
        <f>Sensitivities!$I$29</f>
        <v>0</v>
      </c>
      <c r="I31" s="110">
        <f>Sensitivities!$J$29</f>
        <v>0</v>
      </c>
      <c r="J31" s="110">
        <f>Sensitivities!$K$29</f>
        <v>0</v>
      </c>
    </row>
    <row r="32" spans="2:11" x14ac:dyDescent="0.2">
      <c r="D32" s="10" t="s">
        <v>6</v>
      </c>
      <c r="E32" s="103">
        <f>Sensitivities!$F$216</f>
        <v>2.029683489845544</v>
      </c>
      <c r="F32" s="103">
        <f>Sensitivities!$G$216</f>
        <v>0.67209186588627723</v>
      </c>
      <c r="G32" s="103">
        <f>Sensitivities!$H$216</f>
        <v>0.67174177192393392</v>
      </c>
      <c r="H32" s="103">
        <f>Sensitivities!$I$216</f>
        <v>1.4429179121258318</v>
      </c>
      <c r="I32" s="103">
        <f>Sensitivities!$J$216</f>
        <v>0.7063050768101925</v>
      </c>
      <c r="J32" s="103">
        <f>Sensitivities!$K$216</f>
        <v>0.65489078136188084</v>
      </c>
    </row>
    <row r="33" spans="2:11" x14ac:dyDescent="0.2">
      <c r="D33" s="10" t="s">
        <v>271</v>
      </c>
      <c r="E33" s="149">
        <f>Sensitivities!$F$217</f>
        <v>10.556693027001714</v>
      </c>
      <c r="F33" s="149">
        <f>Sensitivities!$G$217</f>
        <v>11.363905192330774</v>
      </c>
      <c r="G33" s="149">
        <f>Sensitivities!$H$217</f>
        <v>11.829847885327407</v>
      </c>
      <c r="H33" s="149">
        <f>Sensitivities!$I$217</f>
        <v>10.559976602260118</v>
      </c>
      <c r="I33" s="149">
        <f>Sensitivities!$J$217</f>
        <v>10.550112477928783</v>
      </c>
      <c r="J33" s="149">
        <f>Sensitivities!$K$217</f>
        <v>11.540244282094536</v>
      </c>
    </row>
    <row r="34" spans="2:11" x14ac:dyDescent="0.2">
      <c r="D34" s="10" t="s">
        <v>1440</v>
      </c>
      <c r="E34" s="176">
        <f>Sensitivities!$F$159</f>
        <v>1.5088884652268755E-2</v>
      </c>
      <c r="F34" s="93">
        <f>Sensitivities!$G$159</f>
        <v>5.9994689892712387E-2</v>
      </c>
      <c r="G34" s="93">
        <f>Sensitivities!$H$159</f>
        <v>8.9989946366885815E-2</v>
      </c>
      <c r="H34" s="93">
        <f>Sensitivities!$I$159</f>
        <v>3.0000121001277264E-2</v>
      </c>
      <c r="I34" s="93">
        <f>Sensitivities!$J$159</f>
        <v>5.9994689892712387E-2</v>
      </c>
      <c r="J34" s="93">
        <f>Sensitivities!$K$159</f>
        <v>8.9989946366885815E-2</v>
      </c>
    </row>
    <row r="35" spans="2:11" ht="54" customHeight="1" x14ac:dyDescent="0.2">
      <c r="D35" s="363" t="s">
        <v>2119</v>
      </c>
      <c r="E35" s="363"/>
      <c r="F35" s="363"/>
      <c r="G35" s="363"/>
      <c r="H35" s="363"/>
      <c r="I35" s="363"/>
      <c r="J35" s="363"/>
      <c r="K35" s="363"/>
    </row>
    <row r="37" spans="2:11" x14ac:dyDescent="0.2">
      <c r="B37" s="5" t="s">
        <v>8</v>
      </c>
      <c r="C37" s="5" t="s">
        <v>8</v>
      </c>
      <c r="D37" s="6" t="s">
        <v>17</v>
      </c>
      <c r="E37" s="95"/>
      <c r="F37" s="95"/>
      <c r="G37" s="95"/>
      <c r="H37" s="95"/>
      <c r="I37" s="95"/>
      <c r="J37" s="95"/>
      <c r="K37" s="95"/>
    </row>
    <row r="38" spans="2:11" x14ac:dyDescent="0.2">
      <c r="D38" s="63" t="s">
        <v>18</v>
      </c>
      <c r="E38" s="19">
        <f>DCF!E70</f>
        <v>1415.584379662298</v>
      </c>
      <c r="F38" s="1">
        <f>DCF!F70</f>
        <v>82.237886931210411</v>
      </c>
    </row>
    <row r="39" spans="2:11" x14ac:dyDescent="0.2">
      <c r="D39" s="63" t="s">
        <v>19</v>
      </c>
      <c r="E39" s="19">
        <f>DCF!E73</f>
        <v>1405.8944211258627</v>
      </c>
      <c r="F39" s="1">
        <f>DCF!F73</f>
        <v>81.674952127791911</v>
      </c>
    </row>
    <row r="40" spans="2:11" x14ac:dyDescent="0.2">
      <c r="D40" s="63" t="s">
        <v>20</v>
      </c>
      <c r="E40" s="19">
        <f>DCF!E74</f>
        <v>705.55761743988512</v>
      </c>
      <c r="F40" s="1">
        <f>DCF!F74</f>
        <v>40.989126752244601</v>
      </c>
    </row>
    <row r="41" spans="2:11" x14ac:dyDescent="0.2">
      <c r="D41" s="63" t="s">
        <v>21</v>
      </c>
      <c r="E41" s="19">
        <f>DCF!E75</f>
        <v>1444.1276411242598</v>
      </c>
      <c r="F41" s="1">
        <f>DCF!F75</f>
        <v>83.896097873970845</v>
      </c>
    </row>
    <row r="42" spans="2:11" x14ac:dyDescent="0.2">
      <c r="D42" s="63" t="s">
        <v>22</v>
      </c>
      <c r="E42" s="19">
        <f>DCF!E76</f>
        <v>28.54326146196172</v>
      </c>
    </row>
    <row r="44" spans="2:11" x14ac:dyDescent="0.2">
      <c r="B44" s="5" t="s">
        <v>8</v>
      </c>
      <c r="C44" s="5" t="s">
        <v>8</v>
      </c>
      <c r="D44" s="6" t="s">
        <v>1935</v>
      </c>
      <c r="E44" s="95"/>
      <c r="F44" s="95"/>
      <c r="G44" s="95"/>
      <c r="H44" s="95"/>
      <c r="I44" s="95"/>
      <c r="J44" s="95"/>
      <c r="K44" s="95"/>
    </row>
    <row r="45" spans="2:11" x14ac:dyDescent="0.2">
      <c r="E45" s="64" t="s">
        <v>1348</v>
      </c>
      <c r="F45" s="64" t="s">
        <v>1130</v>
      </c>
      <c r="G45" s="64" t="s">
        <v>1131</v>
      </c>
      <c r="H45" s="64" t="s">
        <v>906</v>
      </c>
      <c r="I45" s="64" t="s">
        <v>1549</v>
      </c>
      <c r="J45" s="64" t="s">
        <v>9</v>
      </c>
    </row>
    <row r="46" spans="2:11" x14ac:dyDescent="0.2">
      <c r="D46" s="10" t="s">
        <v>2130</v>
      </c>
      <c r="E46" s="93">
        <f>Inputs!$K$200</f>
        <v>0.20702300000000001</v>
      </c>
      <c r="F46" s="19">
        <f>Sensitivities!$L$52</f>
        <v>1500.0010128120653</v>
      </c>
      <c r="G46" s="87">
        <f>Sensitivities!$L$53</f>
        <v>87.142042156305621</v>
      </c>
      <c r="H46" s="14">
        <f>Sensitivities!$L$59</f>
        <v>127.82748148511058</v>
      </c>
      <c r="I46" s="14">
        <f>Sensitivities!$L$60</f>
        <v>194.85302775523087</v>
      </c>
      <c r="J46" s="14">
        <f>Sensitivities!$L$61</f>
        <v>422.58406350201489</v>
      </c>
    </row>
    <row r="47" spans="2:11" x14ac:dyDescent="0.2">
      <c r="D47" s="10" t="s">
        <v>1132</v>
      </c>
      <c r="E47" s="93">
        <f>Inputs!$G$14</f>
        <v>0.19209999999999999</v>
      </c>
      <c r="F47" s="19">
        <f>Sensitivities!$G$17</f>
        <v>1415.584379662298</v>
      </c>
      <c r="G47" s="87">
        <f>Sensitivities!$G$18</f>
        <v>82.237886931210411</v>
      </c>
      <c r="H47" s="14">
        <f>Sensitivities!G$36</f>
        <v>127.82748148511058</v>
      </c>
      <c r="I47" s="14">
        <f>Sensitivities!$G$154</f>
        <v>194.85302775523087</v>
      </c>
      <c r="J47" s="14">
        <f>Sensitivities!$G$21</f>
        <v>410.53137216965064</v>
      </c>
    </row>
    <row r="48" spans="2:11" ht="13.5" customHeight="1" x14ac:dyDescent="0.2">
      <c r="D48" s="365" t="s">
        <v>1133</v>
      </c>
      <c r="E48" s="365"/>
      <c r="F48" s="365"/>
      <c r="G48" s="365"/>
      <c r="H48" s="365"/>
      <c r="I48" s="365"/>
      <c r="J48" s="365"/>
      <c r="K48" s="365"/>
    </row>
    <row r="50" spans="2:11" x14ac:dyDescent="0.2">
      <c r="B50" s="5" t="s">
        <v>8</v>
      </c>
      <c r="C50" s="5" t="s">
        <v>8</v>
      </c>
      <c r="D50" s="6" t="s">
        <v>1936</v>
      </c>
      <c r="E50" s="95"/>
      <c r="F50" s="95"/>
      <c r="G50" s="95"/>
      <c r="H50" s="95"/>
      <c r="I50" s="95"/>
      <c r="J50" s="95"/>
      <c r="K50" s="95"/>
    </row>
    <row r="51" spans="2:11" x14ac:dyDescent="0.2">
      <c r="D51" s="10" t="s">
        <v>23</v>
      </c>
      <c r="F51" s="110">
        <f>'Reverse Valuation'!G46</f>
        <v>431.35004761143728</v>
      </c>
    </row>
    <row r="52" spans="2:11" x14ac:dyDescent="0.2">
      <c r="D52" s="10" t="s">
        <v>1937</v>
      </c>
      <c r="F52" s="103">
        <f>'Reverse Valuation'!G47</f>
        <v>0.44773572110651938</v>
      </c>
    </row>
    <row r="54" spans="2:11" x14ac:dyDescent="0.2">
      <c r="B54" s="5" t="s">
        <v>8</v>
      </c>
      <c r="C54" s="5" t="s">
        <v>8</v>
      </c>
      <c r="D54" s="6" t="s">
        <v>1938</v>
      </c>
      <c r="E54" s="95"/>
      <c r="F54" s="95"/>
      <c r="G54" s="95"/>
      <c r="H54" s="95"/>
      <c r="I54" s="95"/>
      <c r="J54" s="95"/>
      <c r="K54" s="95"/>
    </row>
    <row r="55" spans="2:11" ht="13.5" customHeight="1" x14ac:dyDescent="0.2">
      <c r="D55" s="366" t="str">
        <f>"1. Revenue grows from ~$"&amp;TEXT(Sensitivities!$G$33,"0")&amp;"B in FY2026 to ~$"&amp;TEXT(Sensitivities!$G$21,"0")&amp;"B in FY2031 ("&amp;TEXT(Sensitivities!$G$22,"0%")&amp;" a year), slowing to "&amp;TEXT(Inputs!$G$185,"0.0%")&amp;" after 2036."</f>
        <v>1. Revenue grows from ~$55B in FY2026 to ~$411B in FY2031 (49% a year), slowing to 3.5% after 2036.</v>
      </c>
      <c r="E55" s="366"/>
      <c r="F55" s="366"/>
      <c r="G55" s="366"/>
      <c r="H55" s="366"/>
      <c r="I55" s="366"/>
      <c r="J55" s="366"/>
      <c r="K55" s="366"/>
    </row>
    <row r="56" spans="2:11" ht="27" customHeight="1" x14ac:dyDescent="0.2">
      <c r="D56" s="366" t="str">
        <f>"2. Compute is serving by revenue stream plus a training budget; all-in compute falls to "&amp;TEXT(1-Model!$Q$117,"0%")&amp;" of revenue by FY2036, so the EBIT margin after stock pay reaches ~"&amp;TEXT(Model!$Q$59,"0%")&amp;" (Q3 2026: "&amp;TEXT(1-Historicals!$Q$10/Historicals!$Q$7,"0%")&amp;" all-compute margin)."</f>
        <v>2. Compute is serving by revenue stream plus a training budget; all-in compute falls to 44% of revenue by FY2036, so the EBIT margin after stock pay reaches ~26% (Q3 2026: 42% all-compute margin).</v>
      </c>
      <c r="E56" s="366"/>
      <c r="F56" s="366"/>
      <c r="G56" s="366"/>
      <c r="H56" s="366"/>
      <c r="I56" s="366"/>
      <c r="J56" s="366"/>
      <c r="K56" s="366"/>
    </row>
    <row r="57" spans="2:11" ht="27" customHeight="1" x14ac:dyDescent="0.2">
      <c r="D57" s="366" t="str">
        <f>"3. The contracted floor binds in "&amp;TEXT(Sensitivities!$G$27,"0")&amp;" of the 10 years: revenue must catch up with $"&amp;TEXT('Filing Data'!$I$48,"0.0")&amp;"B of commitments signed against $13.8B of contracted revenue (RPO at 30 Sep 2026, S-1/A F-27)."</f>
        <v>3. The contracted floor binds in 2 of the 10 years: revenue must catch up with $895.4B of commitments signed against $13.8B of contracted revenue (RPO at 30 Sep 2026, S-1/A F-27).</v>
      </c>
      <c r="E57" s="366"/>
      <c r="F57" s="366"/>
      <c r="G57" s="366"/>
      <c r="H57" s="366"/>
      <c r="I57" s="366"/>
      <c r="J57" s="366"/>
      <c r="K57" s="366"/>
    </row>
    <row r="58" spans="2:11" ht="13.5" customHeight="1" x14ac:dyDescent="0.2">
      <c r="D58" s="366" t="str">
        <f>"4. Liquidity never needs new money: the lowest point is ~$"&amp;TEXT(Sensitivities!$G$28,"0")&amp;"B before financing, against the $5B covenant floor."</f>
        <v>4. Liquidity never needs new money: the lowest point is ~$133B before financing, against the $5B covenant floor.</v>
      </c>
      <c r="E58" s="366"/>
      <c r="F58" s="366"/>
      <c r="G58" s="366"/>
      <c r="H58" s="366"/>
      <c r="I58" s="366"/>
      <c r="J58" s="366"/>
      <c r="K58" s="366"/>
    </row>
    <row r="59" spans="2:11" ht="13.5" customHeight="1" x14ac:dyDescent="0.2">
      <c r="D59" s="366" t="str">
        <f>"5. Discount rate "&amp;TEXT(Sensitivities!$G$26,"0.0%")&amp;"; "&amp;TEXT(Sensitivities!$G$20,"0%")&amp;" of enterprise value sits beyond 2036, so small changes to the long run move the answer a lot."</f>
        <v>5. Discount rate 9.7%; 67% of enterprise value sits beyond 2036, so small changes to the long run move the answer a lot.</v>
      </c>
      <c r="E59" s="366"/>
      <c r="F59" s="366"/>
      <c r="G59" s="366"/>
      <c r="H59" s="366"/>
      <c r="I59" s="366"/>
      <c r="J59" s="366"/>
      <c r="K59" s="366"/>
    </row>
    <row r="61" spans="2:11" x14ac:dyDescent="0.2">
      <c r="B61" s="5" t="s">
        <v>8</v>
      </c>
      <c r="C61" s="5" t="s">
        <v>8</v>
      </c>
      <c r="D61" s="6" t="s">
        <v>1939</v>
      </c>
      <c r="E61" s="95"/>
      <c r="F61" s="95"/>
      <c r="G61" s="95"/>
      <c r="H61" s="95"/>
      <c r="I61" s="95"/>
      <c r="J61" s="95"/>
      <c r="K61" s="95"/>
    </row>
    <row r="62" spans="2:11" x14ac:dyDescent="0.2">
      <c r="D62" s="4" t="str">
        <f>Sensitivities!$D$459</f>
        <v>Live, set 5 Nov 2026: five weighted cases, Moonshot at 20x</v>
      </c>
      <c r="E62" s="148">
        <f>Sensitivities!$N$459</f>
        <v>77.420169864869351</v>
      </c>
      <c r="F62" s="104">
        <f>Sensitivities!$O$459</f>
        <v>1341.3149641789969</v>
      </c>
    </row>
    <row r="63" spans="2:11" x14ac:dyDescent="0.2">
      <c r="D63" s="4" t="str">
        <f>Sensitivities!$D$460</f>
        <v>Memo: same weights, Moonshot at the model's terminal multiple</v>
      </c>
      <c r="E63" s="148">
        <f>Sensitivities!$N$460</f>
        <v>76.416980844056809</v>
      </c>
      <c r="F63" s="104">
        <f>Sensitivities!$O$460</f>
        <v>1323.7014196690704</v>
      </c>
    </row>
    <row r="64" spans="2:11" ht="25.5" x14ac:dyDescent="0.2">
      <c r="D64" s="36" t="str">
        <f>Sensitivities!$D$461</f>
        <v>Memo: Moonshot's 5% taken pro rata from the other four, instead of from Base, Moonshot at 20x</v>
      </c>
      <c r="E64" s="148">
        <f>Sensitivities!$N$461</f>
        <v>77.869974072502714</v>
      </c>
      <c r="F64" s="104">
        <f>Sensitivities!$O$461</f>
        <v>1348.7673092732164</v>
      </c>
    </row>
    <row r="65" spans="2:11" x14ac:dyDescent="0.2">
      <c r="D65" s="4" t="str">
        <f>Sensitivities!$D$462</f>
        <v>Memo: no Moonshot weight (Base 50%)</v>
      </c>
      <c r="E65" s="148">
        <f>Sensitivities!$N$462</f>
        <v>73.241802778543033</v>
      </c>
      <c r="F65" s="104">
        <f>Sensitivities!$O$462</f>
        <v>1266.5374777779086</v>
      </c>
    </row>
    <row r="67" spans="2:11" x14ac:dyDescent="0.2">
      <c r="B67" s="5" t="s">
        <v>8</v>
      </c>
      <c r="C67" s="5" t="s">
        <v>8</v>
      </c>
      <c r="D67" s="6" t="s">
        <v>1940</v>
      </c>
      <c r="E67" s="95"/>
      <c r="F67" s="95"/>
      <c r="G67" s="95"/>
      <c r="H67" s="95"/>
      <c r="I67" s="95"/>
      <c r="J67" s="95"/>
      <c r="K67" s="95"/>
    </row>
    <row r="68" spans="2:11" x14ac:dyDescent="0.2">
      <c r="E68" s="11" t="s">
        <v>1136</v>
      </c>
      <c r="F68" s="11" t="s">
        <v>2</v>
      </c>
      <c r="G68" s="11" t="s">
        <v>1537</v>
      </c>
      <c r="H68" s="11" t="s">
        <v>1137</v>
      </c>
      <c r="I68" s="11" t="s">
        <v>1138</v>
      </c>
      <c r="J68" s="11" t="s">
        <v>1824</v>
      </c>
      <c r="K68" s="11" t="s">
        <v>1</v>
      </c>
    </row>
    <row r="69" spans="2:11" x14ac:dyDescent="0.2">
      <c r="D69" s="10" t="s">
        <v>1906</v>
      </c>
      <c r="E69" s="144">
        <f>Sensitivities!$F$469</f>
        <v>14.190657849216866</v>
      </c>
      <c r="F69" s="144">
        <f>Sensitivities!$G$469</f>
        <v>82.237886931210411</v>
      </c>
      <c r="G69" s="144">
        <f>Sensitivities!$H$469</f>
        <v>181.12115013857618</v>
      </c>
      <c r="H69" s="144">
        <f>Sensitivities!$I$469</f>
        <v>16.698088546361145</v>
      </c>
      <c r="I69" s="144">
        <f>Sensitivities!$J$469</f>
        <v>34.672453989977669</v>
      </c>
      <c r="J69" s="144">
        <f>Sensitivities!$K$469</f>
        <v>122.08638966243501</v>
      </c>
      <c r="K69" s="144">
        <f>Sensitivities!$L$469</f>
        <v>77.420169864869351</v>
      </c>
    </row>
    <row r="70" spans="2:11" x14ac:dyDescent="0.2">
      <c r="D70" s="10" t="s">
        <v>1868</v>
      </c>
      <c r="E70" s="144">
        <f>Sensitivities!$F$466</f>
        <v>14.01415357357142</v>
      </c>
      <c r="F70" s="144">
        <f>Sensitivities!$G$466</f>
        <v>81.146207074016885</v>
      </c>
      <c r="G70" s="144">
        <f>Sensitivities!$H$466</f>
        <v>178.83251495746515</v>
      </c>
      <c r="H70" s="144">
        <f>Sensitivities!$I$466</f>
        <v>16.412910885247236</v>
      </c>
      <c r="I70" s="144">
        <f>Sensitivities!$J$466</f>
        <v>34.219221747357224</v>
      </c>
      <c r="J70" s="144">
        <f>Sensitivities!$K$466</f>
        <v>120.36782576717697</v>
      </c>
      <c r="K70" s="144">
        <f>Sensitivities!$L$466</f>
        <v>76.388511469757603</v>
      </c>
    </row>
    <row r="71" spans="2:11" x14ac:dyDescent="0.2">
      <c r="D71" s="10" t="s">
        <v>1869</v>
      </c>
      <c r="E71" s="144">
        <f>Sensitivities!$F$467</f>
        <v>14.278909987039588</v>
      </c>
      <c r="F71" s="144">
        <f>Sensitivities!$G$467</f>
        <v>82.78372685980716</v>
      </c>
      <c r="G71" s="144">
        <f>Sensitivities!$H$467</f>
        <v>182.26546772913167</v>
      </c>
      <c r="H71" s="144">
        <f>Sensitivities!$I$467</f>
        <v>16.840677376918102</v>
      </c>
      <c r="I71" s="144">
        <f>Sensitivities!$J$467</f>
        <v>34.899070111287884</v>
      </c>
      <c r="J71" s="144">
        <f>Sensitivities!$K$467</f>
        <v>122.945671610064</v>
      </c>
      <c r="K71" s="144">
        <f>Sensitivities!$L$467</f>
        <v>77.935999062425211</v>
      </c>
    </row>
    <row r="72" spans="2:11" x14ac:dyDescent="0.2">
      <c r="D72" s="10" t="s">
        <v>1865</v>
      </c>
      <c r="E72" s="144">
        <f>Sensitivities!$F$468</f>
        <v>12.830628704706465</v>
      </c>
      <c r="F72" s="144">
        <f>Sensitivities!$G$468</f>
        <v>75.606090174559398</v>
      </c>
      <c r="G72" s="144">
        <f>Sensitivities!$H$468</f>
        <v>163.56533903715328</v>
      </c>
      <c r="H72" s="144">
        <f>Sensitivities!$I$468</f>
        <v>15.458143530852686</v>
      </c>
      <c r="I72" s="144">
        <f>Sensitivities!$J$468</f>
        <v>32.788125808871797</v>
      </c>
      <c r="J72" s="144">
        <f>Sensitivities!$K$468</f>
        <v>111.75320133856209</v>
      </c>
      <c r="K72" s="144">
        <f>Sensitivities!$L$468</f>
        <v>71.383923263916017</v>
      </c>
    </row>
    <row r="74" spans="2:11" x14ac:dyDescent="0.2">
      <c r="B74" s="5" t="s">
        <v>8</v>
      </c>
      <c r="C74" s="5" t="s">
        <v>8</v>
      </c>
      <c r="D74" s="6" t="s">
        <v>1941</v>
      </c>
      <c r="E74" s="95"/>
      <c r="F74" s="95"/>
      <c r="G74" s="95"/>
      <c r="H74" s="95"/>
      <c r="I74" s="95"/>
      <c r="J74" s="95"/>
      <c r="K74" s="95"/>
    </row>
    <row r="75" spans="2:11" x14ac:dyDescent="0.2">
      <c r="F75" s="11" t="s">
        <v>1693</v>
      </c>
      <c r="G75" s="11" t="s">
        <v>1853</v>
      </c>
      <c r="H75" s="11" t="s">
        <v>1854</v>
      </c>
      <c r="I75" s="11" t="s">
        <v>1855</v>
      </c>
    </row>
    <row r="76" spans="2:11" x14ac:dyDescent="0.2">
      <c r="D76" s="4" t="s">
        <v>204</v>
      </c>
      <c r="E76" s="4"/>
      <c r="F76" s="110">
        <f>DCF!$F$122</f>
        <v>146.47625530874612</v>
      </c>
      <c r="G76" s="110">
        <f>DCF!$G$122</f>
        <v>158.04835856583773</v>
      </c>
      <c r="H76" s="110">
        <f>DCF!$H$122</f>
        <v>229.40982943557557</v>
      </c>
      <c r="I76" s="110">
        <f>DCF!$I$122</f>
        <v>237.43917346582069</v>
      </c>
    </row>
    <row r="77" spans="2:11" x14ac:dyDescent="0.2">
      <c r="D77" s="4" t="s">
        <v>1856</v>
      </c>
      <c r="E77" s="4"/>
      <c r="F77" s="110">
        <f>DCF!$F$123</f>
        <v>4.9074577492525577</v>
      </c>
      <c r="G77" s="110">
        <f>DCF!$G$123</f>
        <v>19.42962343970018</v>
      </c>
      <c r="H77" s="110">
        <f>DCF!$H$123</f>
        <v>13.025421927527077</v>
      </c>
      <c r="I77" s="110">
        <f>DCF!$I$123</f>
        <v>85.762343357107568</v>
      </c>
    </row>
    <row r="78" spans="2:11" x14ac:dyDescent="0.2">
      <c r="D78" s="4" t="s">
        <v>1857</v>
      </c>
      <c r="E78" s="4"/>
      <c r="F78" s="110">
        <f>DCF!$F$124</f>
        <v>141.56879755949356</v>
      </c>
      <c r="G78" s="110">
        <f>DCF!$G$124</f>
        <v>138.61873512613755</v>
      </c>
      <c r="H78" s="110">
        <f>DCF!$H$124</f>
        <v>216.3844075080485</v>
      </c>
      <c r="I78" s="110">
        <f>DCF!$I$124</f>
        <v>151.67683010871312</v>
      </c>
    </row>
    <row r="79" spans="2:11" ht="27" customHeight="1" x14ac:dyDescent="0.2">
      <c r="D79" s="365" t="str">
        <f>DCF!$D$126</f>
        <v>The FY2047 step-down is the convergence assumption, not a forecast: after FY2046 RONIC = the mature cost of equity, so growth adds no value in perpetuity.</v>
      </c>
      <c r="E79" s="365"/>
      <c r="F79" s="365"/>
      <c r="G79" s="365"/>
      <c r="H79" s="365"/>
      <c r="I79" s="365"/>
      <c r="J79" s="365"/>
      <c r="K79" s="365"/>
    </row>
    <row r="80" spans="2:11" ht="40.5" customHeight="1" x14ac:dyDescent="0.2">
      <c r="D80" s="365" t="str">
        <f>DCF!$D$128</f>
        <v>Method note: the sales-to-capital rule assumes this capital is additional to expensed training. The implied incremental return is about 60% in the live case (row 119), followed by 9.69% in perpetuity. The FY2047 cash-flow step-down of about 30% is the convergence assumption.</v>
      </c>
      <c r="E80" s="363"/>
      <c r="F80" s="363"/>
      <c r="G80" s="363"/>
      <c r="H80" s="363"/>
      <c r="I80" s="363"/>
      <c r="J80" s="363"/>
      <c r="K80" s="363"/>
    </row>
    <row r="81" spans="2:11" x14ac:dyDescent="0.2">
      <c r="B81" s="5" t="s">
        <v>8</v>
      </c>
      <c r="C81" s="5" t="s">
        <v>8</v>
      </c>
      <c r="D81" s="6" t="s">
        <v>1942</v>
      </c>
      <c r="E81" s="95"/>
      <c r="F81" s="95"/>
      <c r="G81" s="95"/>
      <c r="H81" s="95"/>
      <c r="I81" s="95"/>
      <c r="J81" s="95"/>
      <c r="K81" s="95"/>
    </row>
    <row r="82" spans="2:11" ht="25.5" x14ac:dyDescent="0.2">
      <c r="D82" s="36" t="s">
        <v>1907</v>
      </c>
      <c r="E82" s="144">
        <f>Sensitivities!$F$473</f>
        <v>6.71778075068453</v>
      </c>
      <c r="F82" s="104">
        <f>Sensitivities!$G$473</f>
        <v>113.36773577055408</v>
      </c>
    </row>
    <row r="83" spans="2:11" ht="25.5" x14ac:dyDescent="0.2">
      <c r="D83" s="36" t="s">
        <v>1908</v>
      </c>
      <c r="E83" s="144">
        <f>Sensitivities!$F$474</f>
        <v>76.921154475085515</v>
      </c>
      <c r="F83" s="104">
        <f>Sensitivities!$G$474</f>
        <v>1332.8936942754369</v>
      </c>
    </row>
    <row r="85" spans="2:11" ht="27" customHeight="1" x14ac:dyDescent="0.2">
      <c r="D85" s="365" t="s">
        <v>1905</v>
      </c>
      <c r="E85" s="365"/>
      <c r="F85" s="365"/>
      <c r="G85" s="365"/>
      <c r="H85" s="365"/>
      <c r="I85" s="365"/>
      <c r="J85" s="365"/>
      <c r="K85" s="365"/>
    </row>
  </sheetData>
  <mergeCells count="11">
    <mergeCell ref="D79:K79"/>
    <mergeCell ref="D85:K85"/>
    <mergeCell ref="D19:K19"/>
    <mergeCell ref="D35:K35"/>
    <mergeCell ref="D48:K48"/>
    <mergeCell ref="D55:K55"/>
    <mergeCell ref="D56:K56"/>
    <mergeCell ref="D57:K57"/>
    <mergeCell ref="D58:K58"/>
    <mergeCell ref="D59:K59"/>
    <mergeCell ref="D80:K80"/>
  </mergeCells>
  <pageMargins left="0.7" right="0.7" top="0.75" bottom="0.75" header="0.3" footer="0.3"/>
  <pageSetup scale="68" fitToHeight="2" orientation="landscape"/>
  <headerFooter>
    <oddFooter>&amp;C&amp;A, page &amp;P of &amp;N</oddFooter>
  </headerFooter>
  <rowBreaks count="1" manualBreakCount="1">
    <brk id="35" max="10"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FFC000"/>
    <pageSetUpPr fitToPage="1"/>
  </sheetPr>
  <dimension ref="A1:R523"/>
  <sheetViews>
    <sheetView showGridLines="0" zoomScale="85" workbookViewId="0">
      <pane xSplit="4" ySplit="4" topLeftCell="E5" activePane="bottomRight" state="frozenSplit"/>
      <selection pane="topRight" activeCell="E1" sqref="E1"/>
      <selection pane="bottomLeft" activeCell="A5" sqref="A5"/>
      <selection pane="bottomRight"/>
    </sheetView>
  </sheetViews>
  <sheetFormatPr defaultRowHeight="12.75" x14ac:dyDescent="0.2"/>
  <cols>
    <col min="1" max="1" width="1.7109375" style="10" customWidth="1"/>
    <col min="2" max="3" width="2.28515625" style="10" customWidth="1"/>
    <col min="4" max="4" width="62.7109375" style="10" customWidth="1"/>
    <col min="5" max="5" width="11" style="10" customWidth="1"/>
    <col min="6" max="6" width="14.140625" style="10" customWidth="1"/>
    <col min="7" max="7" width="13.7109375" style="10" customWidth="1"/>
    <col min="8" max="8" width="11" style="10" customWidth="1"/>
    <col min="9" max="10" width="13.7109375" style="10" customWidth="1"/>
    <col min="11" max="11" width="10.7109375" style="10" customWidth="1"/>
    <col min="12" max="12" width="12.7109375" style="10" customWidth="1"/>
    <col min="13" max="13" width="9.85546875" style="10" customWidth="1"/>
    <col min="14" max="15" width="9.140625" style="10"/>
    <col min="16" max="16" width="9.7109375" style="10" customWidth="1"/>
    <col min="17" max="17" width="9.140625" style="10"/>
    <col min="18" max="18" width="60.7109375" style="10" customWidth="1"/>
    <col min="19" max="16384" width="9.140625" style="10"/>
  </cols>
  <sheetData>
    <row r="1" spans="1:18" ht="12.75" customHeight="1" x14ac:dyDescent="0.25">
      <c r="A1" s="218" t="s">
        <v>2148</v>
      </c>
    </row>
    <row r="2" spans="1:18" ht="12.75" customHeight="1" x14ac:dyDescent="0.2">
      <c r="A2" s="219" t="s">
        <v>32</v>
      </c>
    </row>
    <row r="3" spans="1:18" ht="12.75" customHeight="1" x14ac:dyDescent="0.2">
      <c r="A3" s="220" t="s">
        <v>1984</v>
      </c>
    </row>
    <row r="4" spans="1:18" ht="12.75" customHeight="1" x14ac:dyDescent="0.2">
      <c r="A4" s="214"/>
      <c r="B4" s="214"/>
      <c r="C4" s="214"/>
      <c r="D4" s="214"/>
      <c r="E4" s="214"/>
      <c r="F4" s="214"/>
      <c r="G4" s="214"/>
      <c r="H4" s="214"/>
      <c r="I4" s="214"/>
      <c r="J4" s="214"/>
      <c r="K4" s="214"/>
      <c r="L4" s="214"/>
      <c r="M4" s="214"/>
    </row>
    <row r="5" spans="1:18" x14ac:dyDescent="0.2">
      <c r="R5" s="11" t="s">
        <v>2115</v>
      </c>
    </row>
    <row r="6" spans="1:18" x14ac:dyDescent="0.2">
      <c r="C6" s="200" t="s">
        <v>8</v>
      </c>
      <c r="D6" s="203" t="s">
        <v>678</v>
      </c>
      <c r="E6" s="215"/>
      <c r="F6" s="215"/>
      <c r="G6" s="215"/>
      <c r="H6" s="215"/>
      <c r="I6" s="215"/>
      <c r="J6" s="215"/>
      <c r="K6" s="215"/>
      <c r="L6" s="215"/>
      <c r="M6" s="215"/>
      <c r="R6" s="173" t="str">
        <f>HYPERLINK("#Sensitivities!D14","Scenarios (row 14)")</f>
        <v>Scenarios (row 14)</v>
      </c>
    </row>
    <row r="7" spans="1:18" x14ac:dyDescent="0.2">
      <c r="D7" s="63" t="s">
        <v>1985</v>
      </c>
      <c r="E7" s="228"/>
      <c r="R7" s="173" t="str">
        <f>HYPERLINK("#Sensitivities!D49","Stress cases (row 49)")</f>
        <v>Stress cases (row 49)</v>
      </c>
    </row>
    <row r="8" spans="1:18" x14ac:dyDescent="0.2">
      <c r="D8" s="63" t="s">
        <v>1986</v>
      </c>
      <c r="E8" s="228"/>
      <c r="R8" s="173" t="str">
        <f>HYPERLINK("#Sensitivities!D63","R3 price x margin grid (row 63)")</f>
        <v>R3 price x margin grid (row 63)</v>
      </c>
    </row>
    <row r="9" spans="1:18" x14ac:dyDescent="0.2">
      <c r="D9" s="63" t="s">
        <v>1987</v>
      </c>
      <c r="E9" s="228"/>
      <c r="R9" s="173" t="str">
        <f>HYPERLINK("#Sensitivities!D74","Grid 1 per diluted share ($) (row 74)")</f>
        <v>Grid 1 per diluted share ($) (row 74)</v>
      </c>
    </row>
    <row r="10" spans="1:18" x14ac:dyDescent="0.2">
      <c r="D10" s="63" t="s">
        <v>12</v>
      </c>
      <c r="E10" s="228"/>
      <c r="R10" s="173" t="str">
        <f>HYPERLINK("#Sensitivities!D84","R3 price x margin grid, financing (row 84)")</f>
        <v>R3 price x margin grid, financing (row 84)</v>
      </c>
    </row>
    <row r="11" spans="1:18" x14ac:dyDescent="0.2">
      <c r="D11" s="63" t="s">
        <v>13</v>
      </c>
      <c r="E11" s="228"/>
      <c r="R11" s="173" t="str">
        <f>HYPERLINK("#Sensitivities!D96","WACC x growth grid (row 96)")</f>
        <v>WACC x growth grid (row 96)</v>
      </c>
    </row>
    <row r="12" spans="1:18" x14ac:dyDescent="0.2">
      <c r="D12" s="63" t="s">
        <v>14</v>
      </c>
      <c r="E12" s="228"/>
      <c r="R12" s="173" t="str">
        <f>HYPERLINK("#Sensitivities!D104","WACC x growth grid per diluted share ($) (row 104)")</f>
        <v>WACC x growth grid per diluted share ($) (row 104)</v>
      </c>
    </row>
    <row r="13" spans="1:18" x14ac:dyDescent="0.2">
      <c r="D13" s="63" t="s">
        <v>679</v>
      </c>
      <c r="E13" s="19">
        <f>Model!$F$99</f>
        <v>1415.584379662298</v>
      </c>
      <c r="R13" s="173" t="str">
        <f>HYPERLINK("#Sensitivities!D112","Market-engine grids (row 112)")</f>
        <v>Market-engine grids (row 112)</v>
      </c>
    </row>
    <row r="14" spans="1:18" x14ac:dyDescent="0.2">
      <c r="C14" s="200" t="s">
        <v>8</v>
      </c>
      <c r="D14" s="203" t="s">
        <v>1541</v>
      </c>
      <c r="E14" s="215"/>
      <c r="F14" s="215"/>
      <c r="G14" s="215"/>
      <c r="H14" s="215"/>
      <c r="I14" s="215"/>
      <c r="J14" s="215"/>
      <c r="K14" s="215"/>
      <c r="L14" s="215"/>
      <c r="M14" s="215"/>
      <c r="R14" s="173" t="str">
        <f>HYPERLINK("#Sensitivities!D121","Spend x share grid (row 121)")</f>
        <v>Spend x share grid (row 121)</v>
      </c>
    </row>
    <row r="15" spans="1:18" x14ac:dyDescent="0.2">
      <c r="E15" s="64" t="s">
        <v>3</v>
      </c>
      <c r="F15" s="64" t="s">
        <v>1136</v>
      </c>
      <c r="G15" s="64" t="s">
        <v>2</v>
      </c>
      <c r="H15" s="64" t="s">
        <v>1537</v>
      </c>
      <c r="I15" s="64" t="s">
        <v>1137</v>
      </c>
      <c r="J15" s="64" t="s">
        <v>1138</v>
      </c>
      <c r="K15" s="64" t="s">
        <v>1824</v>
      </c>
      <c r="R15" s="173" t="str">
        <f>HYPERLINK("#Sensitivities!D130","Tier-1 grid (row 130)")</f>
        <v>Tier-1 grid (row 130)</v>
      </c>
    </row>
    <row r="16" spans="1:18" x14ac:dyDescent="0.2">
      <c r="D16" s="7" t="s">
        <v>680</v>
      </c>
      <c r="F16" s="181">
        <v>1</v>
      </c>
      <c r="G16" s="181">
        <v>2</v>
      </c>
      <c r="H16" s="181">
        <v>3</v>
      </c>
      <c r="I16" s="181">
        <v>4</v>
      </c>
      <c r="J16" s="181">
        <v>5</v>
      </c>
      <c r="K16" s="181">
        <v>6</v>
      </c>
      <c r="R16" s="173" t="str">
        <f>HYPERLINK("#Sensitivities!D139","Midpoint grid (row 139)")</f>
        <v>Midpoint grid (row 139)</v>
      </c>
    </row>
    <row r="17" spans="4:18" x14ac:dyDescent="0.2">
      <c r="D17" s="63" t="s">
        <v>221</v>
      </c>
      <c r="E17" s="14">
        <f>Model!$F$99</f>
        <v>1415.584379662298</v>
      </c>
      <c r="F17" s="10">
        <f t="dataTable" ref="F17:K48" dt2D="0" dtr="1" r1="E7" ca="1"/>
        <v>239.4783052865229</v>
      </c>
      <c r="G17" s="10">
        <v>1415.584379662298</v>
      </c>
      <c r="H17" s="10">
        <v>3180.0442124764832</v>
      </c>
      <c r="I17" s="10">
        <v>281.79313384175123</v>
      </c>
      <c r="J17" s="10">
        <v>585.12442551090192</v>
      </c>
      <c r="K17" s="10">
        <v>2143.5382702193083</v>
      </c>
      <c r="R17" s="173" t="str">
        <f>HYPERLINK("#Sensitivities!D148","Scenario detail (row 148)")</f>
        <v>Scenario detail (row 148)</v>
      </c>
    </row>
    <row r="18" spans="4:18" x14ac:dyDescent="0.2">
      <c r="D18" s="63" t="s">
        <v>5</v>
      </c>
      <c r="E18" s="229">
        <f>Model!$F$100</f>
        <v>82.237886931210411</v>
      </c>
      <c r="F18" s="10">
        <v>14.190657849216866</v>
      </c>
      <c r="G18" s="10">
        <v>82.237886931210411</v>
      </c>
      <c r="H18" s="10">
        <v>181.12115013857618</v>
      </c>
      <c r="I18" s="10">
        <v>16.698088546361145</v>
      </c>
      <c r="J18" s="10">
        <v>34.672453989977669</v>
      </c>
      <c r="K18" s="10">
        <v>122.08638966243501</v>
      </c>
      <c r="R18" s="173" t="str">
        <f>HYPERLINK("#Sensitivities!D176","Plan case detail (row 176)")</f>
        <v>Plan case detail (row 176)</v>
      </c>
    </row>
    <row r="19" spans="4:18" x14ac:dyDescent="0.2">
      <c r="D19" s="63" t="s">
        <v>215</v>
      </c>
      <c r="E19" s="14">
        <f>Model!$F$89</f>
        <v>1275.5723630574107</v>
      </c>
      <c r="F19" s="10">
        <v>102.05763991882455</v>
      </c>
      <c r="G19" s="10">
        <v>1275.5723630574107</v>
      </c>
      <c r="H19" s="10">
        <v>3040.0321958715958</v>
      </c>
      <c r="I19" s="10">
        <v>141.78111723686399</v>
      </c>
      <c r="J19" s="10">
        <v>445.11240890601465</v>
      </c>
      <c r="K19" s="10">
        <v>2003.526253614421</v>
      </c>
      <c r="R19" s="173" t="str">
        <f>HYPERLINK("#Sensitivities!D197","International basis sensitivity (row 197)")</f>
        <v>International basis sensitivity (row 197)</v>
      </c>
    </row>
    <row r="20" spans="4:18" x14ac:dyDescent="0.2">
      <c r="D20" s="63" t="s">
        <v>6</v>
      </c>
      <c r="E20" s="18">
        <f>Model!$F$108</f>
        <v>0.67209186588627723</v>
      </c>
      <c r="F20" s="10" t="str">
        <v>n.m.</v>
      </c>
      <c r="G20" s="10">
        <v>0.67209186588627723</v>
      </c>
      <c r="H20" s="10">
        <v>0.67174177192393392</v>
      </c>
      <c r="I20" s="10" t="str">
        <v>n.m.</v>
      </c>
      <c r="J20" s="10">
        <v>0.7063050768101925</v>
      </c>
      <c r="K20" s="10">
        <v>0.65489078136188084</v>
      </c>
      <c r="R20" s="173" t="str">
        <f>HYPERLINK("#Sensitivities!D205","Evidence set sensitivities (row 205)")</f>
        <v>Evidence set sensitivities (row 205)</v>
      </c>
    </row>
    <row r="21" spans="4:18" x14ac:dyDescent="0.2">
      <c r="D21" s="63" t="s">
        <v>9</v>
      </c>
      <c r="E21" s="14">
        <f>Model!$F$101</f>
        <v>410.53137216965064</v>
      </c>
      <c r="F21" s="10">
        <v>135.75781823223124</v>
      </c>
      <c r="G21" s="10">
        <v>410.53137216965064</v>
      </c>
      <c r="H21" s="10">
        <v>671.5892788677852</v>
      </c>
      <c r="I21" s="10">
        <v>182.68760258367234</v>
      </c>
      <c r="J21" s="10">
        <v>279.30816664585382</v>
      </c>
      <c r="K21" s="10">
        <v>575.64313614196635</v>
      </c>
      <c r="R21" s="173" t="str">
        <f>HYPERLINK("#Sensitivities!D212","Terminal value by scenario (row 212)")</f>
        <v>Terminal value by scenario (row 212)</v>
      </c>
    </row>
    <row r="22" spans="4:18" x14ac:dyDescent="0.2">
      <c r="D22" s="63" t="s">
        <v>10</v>
      </c>
      <c r="E22" s="18">
        <f>Model!$F$102</f>
        <v>0.49243495017854366</v>
      </c>
      <c r="F22" s="10">
        <v>0.19613200417092513</v>
      </c>
      <c r="G22" s="10">
        <v>0.49243495017854366</v>
      </c>
      <c r="H22" s="10">
        <v>0.64682287783554937</v>
      </c>
      <c r="I22" s="10">
        <v>0.26931074375654274</v>
      </c>
      <c r="J22" s="10">
        <v>0.38179261593410274</v>
      </c>
      <c r="K22" s="10">
        <v>0.59682310093630186</v>
      </c>
      <c r="R22" s="173" t="str">
        <f>HYPERLINK("#Sensitivities!D224","Plan case extras (row 224)")</f>
        <v>Plan case extras (row 224)</v>
      </c>
    </row>
    <row r="23" spans="4:18" x14ac:dyDescent="0.2">
      <c r="D23" s="63" t="s">
        <v>225</v>
      </c>
      <c r="E23" s="18">
        <f>Model!$F$107</f>
        <v>0.43348314326933424</v>
      </c>
      <c r="F23" s="10">
        <v>0.14888428798780162</v>
      </c>
      <c r="G23" s="10">
        <v>0.43348314326933424</v>
      </c>
      <c r="H23" s="10">
        <v>0.58177268298704665</v>
      </c>
      <c r="I23" s="10">
        <v>0.21917243664656194</v>
      </c>
      <c r="J23" s="10">
        <v>0.32721122766430044</v>
      </c>
      <c r="K23" s="10">
        <v>0.53374791826029977</v>
      </c>
      <c r="R23" s="173" t="str">
        <f>HYPERLINK("#Sensitivities!D231","Frontier split into layers (row 231)")</f>
        <v>Frontier split into layers (row 231)</v>
      </c>
    </row>
    <row r="24" spans="4:18" x14ac:dyDescent="0.2">
      <c r="D24" s="63" t="s">
        <v>11</v>
      </c>
      <c r="E24" s="14">
        <f>Model!$F$103</f>
        <v>737.80325502079654</v>
      </c>
      <c r="F24" s="10">
        <v>165.51114894402144</v>
      </c>
      <c r="G24" s="10">
        <v>737.80325502079654</v>
      </c>
      <c r="H24" s="10">
        <v>1400.0237233271691</v>
      </c>
      <c r="I24" s="10">
        <v>247.27395704942376</v>
      </c>
      <c r="J24" s="10">
        <v>391.99343047620715</v>
      </c>
      <c r="K24" s="10">
        <v>1116.3944918890231</v>
      </c>
      <c r="R24" s="173" t="str">
        <f>HYPERLINK("#Sensitivities!D250","Base (row 250)")</f>
        <v>Base (row 250)</v>
      </c>
    </row>
    <row r="25" spans="4:18" x14ac:dyDescent="0.2">
      <c r="D25" s="63" t="s">
        <v>222</v>
      </c>
      <c r="E25" s="18">
        <f>Model!$F$104</f>
        <v>0.25783147702839776</v>
      </c>
      <c r="F25" s="10">
        <v>0.29894346108198233</v>
      </c>
      <c r="G25" s="10">
        <v>0.25783147702839776</v>
      </c>
      <c r="H25" s="10">
        <v>0.31091118665162942</v>
      </c>
      <c r="I25" s="10">
        <v>0.19755546544338135</v>
      </c>
      <c r="J25" s="10">
        <v>0.1916887017636858</v>
      </c>
      <c r="K25" s="10">
        <v>0.25680388673266397</v>
      </c>
      <c r="R25" s="173" t="str">
        <f>HYPERLINK("#Sensitivities!D262","Share loss (row 262)")</f>
        <v>Share loss (row 262)</v>
      </c>
    </row>
    <row r="26" spans="4:18" x14ac:dyDescent="0.2">
      <c r="D26" s="63" t="s">
        <v>1126</v>
      </c>
      <c r="E26" s="18">
        <f>Model!$F$24</f>
        <v>9.69E-2</v>
      </c>
      <c r="F26" s="10">
        <v>9.69E-2</v>
      </c>
      <c r="G26" s="10">
        <v>9.69E-2</v>
      </c>
      <c r="H26" s="10">
        <v>9.69E-2</v>
      </c>
      <c r="I26" s="10">
        <v>9.69E-2</v>
      </c>
      <c r="J26" s="10">
        <v>9.69E-2</v>
      </c>
      <c r="K26" s="10">
        <v>9.69E-2</v>
      </c>
      <c r="R26" s="173" t="str">
        <f>HYPERLINK("#Sensitivities!D274","Resale of excess committed compute (row 274)")</f>
        <v>Resale of excess committed compute (row 274)</v>
      </c>
    </row>
    <row r="27" spans="4:18" x14ac:dyDescent="0.2">
      <c r="D27" s="63" t="s">
        <v>223</v>
      </c>
      <c r="E27" s="19">
        <f>Model!$F$105</f>
        <v>2</v>
      </c>
      <c r="F27" s="10">
        <v>6</v>
      </c>
      <c r="G27" s="10">
        <v>2</v>
      </c>
      <c r="H27" s="10">
        <v>2</v>
      </c>
      <c r="I27" s="10">
        <v>5</v>
      </c>
      <c r="J27" s="10">
        <v>4</v>
      </c>
      <c r="K27" s="10">
        <v>2</v>
      </c>
      <c r="R27" s="173" t="str">
        <f>HYPERLINK("#Sensitivities!D280","Downside cost paths by year (row 280)")</f>
        <v>Downside cost paths by year (row 280)</v>
      </c>
    </row>
    <row r="28" spans="4:18" ht="15" x14ac:dyDescent="0.25">
      <c r="D28" s="63" t="s">
        <v>224</v>
      </c>
      <c r="E28" s="14">
        <f>Model!$F$106</f>
        <v>133.3394383798726</v>
      </c>
      <c r="F28" s="10">
        <v>-7.6280836342797187</v>
      </c>
      <c r="G28" s="10">
        <v>133.3394383798726</v>
      </c>
      <c r="H28" s="10">
        <v>133.3394383798726</v>
      </c>
      <c r="I28" s="10">
        <v>73.632964445744818</v>
      </c>
      <c r="J28" s="10">
        <v>133.3394383798726</v>
      </c>
      <c r="K28" s="10">
        <v>133.3394383798726</v>
      </c>
      <c r="R28" s="343" t="str">
        <f>HYPERLINK("#Sensitivities!D457","Weighted value with the Moonshot. (row 457)")</f>
        <v>Weighted value with the Moonshot. (row 457)</v>
      </c>
    </row>
    <row r="29" spans="4:18" x14ac:dyDescent="0.2">
      <c r="D29" s="63" t="s">
        <v>218</v>
      </c>
      <c r="E29" s="14">
        <f>Model!$F$93</f>
        <v>0</v>
      </c>
      <c r="F29" s="10">
        <v>12.628083634279719</v>
      </c>
      <c r="G29" s="10">
        <v>0</v>
      </c>
      <c r="H29" s="10">
        <v>0</v>
      </c>
      <c r="I29" s="10">
        <v>0</v>
      </c>
      <c r="J29" s="10">
        <v>0</v>
      </c>
      <c r="K29" s="10">
        <v>0</v>
      </c>
      <c r="R29" s="173" t="str">
        <f>HYPERLINK("#Sensitivities!D464","Terminal reinvestment sensitivities (row 464)")</f>
        <v>Terminal reinvestment sensitivities (row 464)</v>
      </c>
    </row>
    <row r="30" spans="4:18" x14ac:dyDescent="0.2">
      <c r="D30" s="63" t="s">
        <v>219</v>
      </c>
      <c r="E30" s="14">
        <f>Model!$F$95</f>
        <v>0</v>
      </c>
      <c r="F30" s="10">
        <v>0</v>
      </c>
      <c r="G30" s="10">
        <v>0</v>
      </c>
      <c r="H30" s="10">
        <v>0</v>
      </c>
      <c r="I30" s="10">
        <v>0</v>
      </c>
      <c r="J30" s="10">
        <v>0</v>
      </c>
      <c r="K30" s="10">
        <v>0</v>
      </c>
      <c r="R30" s="173" t="str">
        <f>HYPERLINK("#Sensitivities!D471","Downside memo (row 471)")</f>
        <v>Downside memo (row 471)</v>
      </c>
    </row>
    <row r="31" spans="4:18" x14ac:dyDescent="0.2">
      <c r="D31" s="63" t="s">
        <v>681</v>
      </c>
      <c r="E31" s="1">
        <f>Model!$F$29</f>
        <v>82.236999999999995</v>
      </c>
      <c r="F31" s="10">
        <v>14.1907</v>
      </c>
      <c r="G31" s="10">
        <v>82.236999999999995</v>
      </c>
      <c r="H31" s="10">
        <v>181.11920000000001</v>
      </c>
      <c r="I31" s="10">
        <v>16.6981</v>
      </c>
      <c r="J31" s="10">
        <v>34.6721</v>
      </c>
      <c r="K31" s="10">
        <v>122.0863960753755</v>
      </c>
      <c r="R31" s="173" t="str">
        <f>HYPERLINK("#Sensitivities!D477","Serving x training, training solve and midpoint tables (data (row 477)")</f>
        <v>Serving x training, training solve and midpoint tables (data (row 477)</v>
      </c>
    </row>
    <row r="32" spans="4:18" x14ac:dyDescent="0.2">
      <c r="D32" s="63" t="s">
        <v>982</v>
      </c>
      <c r="E32" s="73">
        <f>SUM(Model!G60:Q60)</f>
        <v>215.70858866883253</v>
      </c>
      <c r="F32" s="10">
        <v>34.018098029794828</v>
      </c>
      <c r="G32" s="10">
        <v>215.70858866883253</v>
      </c>
      <c r="H32" s="10">
        <v>479.73404535740281</v>
      </c>
      <c r="I32" s="10">
        <v>40.713109165276457</v>
      </c>
      <c r="J32" s="10">
        <v>88.705503737002815</v>
      </c>
      <c r="K32" s="10">
        <v>322.11049920040176</v>
      </c>
      <c r="R32" s="173" t="str">
        <f>HYPERLINK("#Sensitivities!D478","Compute split (row 478)")</f>
        <v>Compute split (row 478)</v>
      </c>
    </row>
    <row r="33" spans="4:18" ht="15" x14ac:dyDescent="0.25">
      <c r="D33" s="63" t="s">
        <v>682</v>
      </c>
      <c r="E33" s="14">
        <f>Model!H37</f>
        <v>55.445881999999997</v>
      </c>
      <c r="F33" s="10">
        <v>55.445881999999997</v>
      </c>
      <c r="G33" s="10">
        <v>55.445881999999997</v>
      </c>
      <c r="H33" s="10">
        <v>55.445881999999997</v>
      </c>
      <c r="I33" s="10">
        <v>55.445881999999997</v>
      </c>
      <c r="J33" s="10">
        <v>55.445881999999997</v>
      </c>
      <c r="K33" s="10">
        <v>55.445881999999997</v>
      </c>
      <c r="R33" s="343" t="str">
        <f>HYPERLINK("#Sensitivities!D494","Midpoint-year sensitivity, probability-weighted value, plan (row 494)")</f>
        <v>Midpoint-year sensitivity, probability-weighted value, plan (row 494)</v>
      </c>
    </row>
    <row r="34" spans="4:18" x14ac:dyDescent="0.2">
      <c r="D34" s="63" t="s">
        <v>816</v>
      </c>
      <c r="E34" s="74">
        <f>Model!$F$29-Model!$F$100</f>
        <v>-8.869312104167193E-4</v>
      </c>
      <c r="F34" s="10">
        <v>4.2150783134076164E-5</v>
      </c>
      <c r="G34" s="10">
        <v>-8.869312104167193E-4</v>
      </c>
      <c r="H34" s="10">
        <v>-1.9501385761770962E-3</v>
      </c>
      <c r="I34" s="10">
        <v>1.1453638855130066E-5</v>
      </c>
      <c r="J34" s="10">
        <v>-3.5398997766833418E-4</v>
      </c>
      <c r="K34" s="10">
        <v>6.4129404933055412E-6</v>
      </c>
      <c r="R34" s="173" t="str">
        <f>HYPERLINK("#Sensitivities!D502","Frontier split into layers. E base, F premium expands, G pre (row 502)")</f>
        <v>Frontier split into layers. E base, F premium expands, G pre (row 502)</v>
      </c>
    </row>
    <row r="35" spans="4:18" x14ac:dyDescent="0.2">
      <c r="D35" s="63" t="s">
        <v>905</v>
      </c>
      <c r="E35" s="73">
        <f>Model!$F$136</f>
        <v>88.815528</v>
      </c>
      <c r="F35" s="224">
        <v>88.815528</v>
      </c>
      <c r="G35" s="224">
        <v>88.815528</v>
      </c>
      <c r="H35" s="224">
        <v>88.815528</v>
      </c>
      <c r="I35" s="224">
        <v>88.815528</v>
      </c>
      <c r="J35" s="224">
        <v>88.815528</v>
      </c>
      <c r="K35" s="224">
        <v>88.815528</v>
      </c>
    </row>
    <row r="36" spans="4:18" x14ac:dyDescent="0.2">
      <c r="D36" s="63" t="s">
        <v>906</v>
      </c>
      <c r="E36" s="73">
        <f>Model!$H$35</f>
        <v>127.82748148511058</v>
      </c>
      <c r="F36" s="224">
        <v>104.14710969778609</v>
      </c>
      <c r="G36" s="224">
        <v>127.82748148511058</v>
      </c>
      <c r="H36" s="224">
        <v>145.64737049929082</v>
      </c>
      <c r="I36" s="224">
        <v>105.51684597136254</v>
      </c>
      <c r="J36" s="224">
        <v>120.16281319089376</v>
      </c>
      <c r="K36" s="224">
        <v>141.6092246284268</v>
      </c>
    </row>
    <row r="37" spans="4:18" x14ac:dyDescent="0.2">
      <c r="D37" s="63" t="s">
        <v>907</v>
      </c>
      <c r="E37" s="75">
        <f>Model!$H$117</f>
        <v>0.37641925480474681</v>
      </c>
      <c r="F37" s="216">
        <v>0.23463304558117626</v>
      </c>
      <c r="G37" s="216">
        <v>0.37641925480474681</v>
      </c>
      <c r="H37" s="216">
        <v>0.45271407312289369</v>
      </c>
      <c r="I37" s="216">
        <v>0.24456843429009123</v>
      </c>
      <c r="J37" s="216">
        <v>0.33664372492438976</v>
      </c>
      <c r="K37" s="216">
        <v>0.43710760107561208</v>
      </c>
    </row>
    <row r="38" spans="4:18" x14ac:dyDescent="0.2">
      <c r="D38" s="63" t="s">
        <v>908</v>
      </c>
      <c r="E38" s="75">
        <f>Model!$Q$117</f>
        <v>0.56244289675640768</v>
      </c>
      <c r="F38" s="216">
        <v>0.66269718601133554</v>
      </c>
      <c r="G38" s="216">
        <v>0.56244289675640768</v>
      </c>
      <c r="H38" s="216">
        <v>0.61207431931016676</v>
      </c>
      <c r="I38" s="216">
        <v>0.55343827350754859</v>
      </c>
      <c r="J38" s="216">
        <v>0.55517238490192988</v>
      </c>
      <c r="K38" s="216">
        <v>0.56270446519532191</v>
      </c>
    </row>
    <row r="39" spans="4:18" ht="25.5" x14ac:dyDescent="0.2">
      <c r="D39" s="36" t="s">
        <v>1895</v>
      </c>
      <c r="E39" s="73">
        <f>Model!$H$123</f>
        <v>266.78640608447841</v>
      </c>
      <c r="F39" s="224">
        <v>261.92940234376584</v>
      </c>
      <c r="G39" s="224">
        <v>266.78640608447841</v>
      </c>
      <c r="H39" s="224">
        <v>271.03215472003563</v>
      </c>
      <c r="I39" s="224">
        <v>248.96795331264354</v>
      </c>
      <c r="J39" s="224">
        <v>262.35548719045016</v>
      </c>
      <c r="K39" s="224">
        <v>266.89446651212438</v>
      </c>
    </row>
    <row r="40" spans="4:18" x14ac:dyDescent="0.2">
      <c r="D40" s="63" t="s">
        <v>909</v>
      </c>
      <c r="E40" s="73">
        <f>Model!$H$41</f>
        <v>79.710756160917683</v>
      </c>
      <c r="F40" s="224">
        <v>79.710756160917683</v>
      </c>
      <c r="G40" s="224">
        <v>79.710756160917683</v>
      </c>
      <c r="H40" s="224">
        <v>79.710756160917683</v>
      </c>
      <c r="I40" s="224">
        <v>79.710756160917683</v>
      </c>
      <c r="J40" s="224">
        <v>79.710756160917683</v>
      </c>
      <c r="K40" s="224">
        <v>79.710756160917683</v>
      </c>
    </row>
    <row r="41" spans="4:18" x14ac:dyDescent="0.2">
      <c r="D41" s="63" t="s">
        <v>910</v>
      </c>
      <c r="E41" s="230">
        <f>IFERROR(ROUNDDOWN(LOOKUP(2,1/(Model!$G$126:$Q$126="BINDS"),'Compute Commitments'!$M$8:$W$8),0),0)</f>
        <v>2028</v>
      </c>
      <c r="F41" s="236">
        <v>2032</v>
      </c>
      <c r="G41" s="236">
        <v>2028</v>
      </c>
      <c r="H41" s="236">
        <v>2028</v>
      </c>
      <c r="I41" s="236">
        <v>2031</v>
      </c>
      <c r="J41" s="236">
        <v>2030</v>
      </c>
      <c r="K41" s="236">
        <v>2028</v>
      </c>
    </row>
    <row r="42" spans="4:18" x14ac:dyDescent="0.2">
      <c r="D42" s="63" t="s">
        <v>1049</v>
      </c>
      <c r="E42" s="73">
        <f>Model!$F$134</f>
        <v>55.445881999999997</v>
      </c>
      <c r="F42" s="224">
        <v>55.445881999999997</v>
      </c>
      <c r="G42" s="224">
        <v>55.445881999999997</v>
      </c>
      <c r="H42" s="224">
        <v>55.445881999999997</v>
      </c>
      <c r="I42" s="224">
        <v>55.445881999999997</v>
      </c>
      <c r="J42" s="224">
        <v>55.445881999999997</v>
      </c>
      <c r="K42" s="224">
        <v>55.445881999999997</v>
      </c>
    </row>
    <row r="43" spans="4:18" x14ac:dyDescent="0.2">
      <c r="D43" s="63" t="s">
        <v>247</v>
      </c>
      <c r="E43" s="73">
        <f>Model!$F$137</f>
        <v>34.007067927551077</v>
      </c>
      <c r="F43" s="224">
        <v>34.007067927551077</v>
      </c>
      <c r="G43" s="224">
        <v>34.007067927551077</v>
      </c>
      <c r="H43" s="224">
        <v>34.007067927551077</v>
      </c>
      <c r="I43" s="224">
        <v>34.007067927551077</v>
      </c>
      <c r="J43" s="224">
        <v>34.007067927551077</v>
      </c>
      <c r="K43" s="224">
        <v>34.007067927551077</v>
      </c>
    </row>
    <row r="44" spans="4:18" x14ac:dyDescent="0.2">
      <c r="D44" s="63" t="s">
        <v>1050</v>
      </c>
      <c r="E44" s="73">
        <f>Model!$H$58</f>
        <v>10.038359034120813</v>
      </c>
      <c r="F44" s="224">
        <v>-9.0637402063375632</v>
      </c>
      <c r="G44" s="224">
        <v>10.038359034120813</v>
      </c>
      <c r="H44" s="224">
        <v>24.631815394128775</v>
      </c>
      <c r="I44" s="224">
        <v>-8.7385649101155369</v>
      </c>
      <c r="J44" s="224">
        <v>2.8690504448229865</v>
      </c>
      <c r="K44" s="224">
        <v>21.184053192409024</v>
      </c>
    </row>
    <row r="45" spans="4:18" x14ac:dyDescent="0.2">
      <c r="D45" s="63" t="s">
        <v>1051</v>
      </c>
      <c r="E45" s="75">
        <f>Model!$H$59</f>
        <v>7.8530523464080654E-2</v>
      </c>
      <c r="F45" s="216">
        <v>-8.7028245264210491E-2</v>
      </c>
      <c r="G45" s="216">
        <v>7.8530523464080654E-2</v>
      </c>
      <c r="H45" s="216">
        <v>0.16911953377317385</v>
      </c>
      <c r="I45" s="216">
        <v>-8.2816775176232982E-2</v>
      </c>
      <c r="J45" s="216">
        <v>2.3876358822135253E-2</v>
      </c>
      <c r="K45" s="216">
        <v>0.14959514994870265</v>
      </c>
    </row>
    <row r="46" spans="4:18" x14ac:dyDescent="0.2">
      <c r="D46" s="63" t="s">
        <v>1104</v>
      </c>
      <c r="E46" s="73">
        <f>Model!$H$148</f>
        <v>16.353857035156235</v>
      </c>
      <c r="F46" s="224">
        <v>16.353857035156235</v>
      </c>
      <c r="G46" s="224">
        <v>16.353857035156235</v>
      </c>
      <c r="H46" s="224">
        <v>16.353857035156235</v>
      </c>
      <c r="I46" s="224">
        <v>16.353857035156235</v>
      </c>
      <c r="J46" s="224">
        <v>16.353857035156235</v>
      </c>
      <c r="K46" s="224">
        <v>16.353857035156235</v>
      </c>
    </row>
    <row r="47" spans="4:18" x14ac:dyDescent="0.2">
      <c r="D47" s="63" t="s">
        <v>1052</v>
      </c>
      <c r="E47" s="73">
        <f>Model!$H$124</f>
        <v>115.73377546911829</v>
      </c>
      <c r="F47" s="224">
        <v>114.99714272737458</v>
      </c>
      <c r="G47" s="224">
        <v>115.73377546911829</v>
      </c>
      <c r="H47" s="224">
        <v>115.92354863742321</v>
      </c>
      <c r="I47" s="224">
        <v>116.0757321883595</v>
      </c>
      <c r="J47" s="224">
        <v>116.67812294543921</v>
      </c>
      <c r="K47" s="224">
        <v>116.02379632918382</v>
      </c>
    </row>
    <row r="48" spans="4:18" x14ac:dyDescent="0.2">
      <c r="D48" s="63" t="s">
        <v>1105</v>
      </c>
      <c r="E48" s="75">
        <f>Model!$H$149</f>
        <v>0.16995178972877079</v>
      </c>
      <c r="F48" s="216">
        <v>0.16463478206744914</v>
      </c>
      <c r="G48" s="216">
        <v>0.16995178972877079</v>
      </c>
      <c r="H48" s="216">
        <v>0.17131062389629348</v>
      </c>
      <c r="I48" s="216">
        <v>0.17239709468136663</v>
      </c>
      <c r="J48" s="216">
        <v>0.17666987802850184</v>
      </c>
      <c r="K48" s="216">
        <v>0.17202663388535844</v>
      </c>
    </row>
    <row r="49" spans="3:15" x14ac:dyDescent="0.2">
      <c r="C49" s="200" t="s">
        <v>8</v>
      </c>
      <c r="D49" s="203" t="s">
        <v>683</v>
      </c>
      <c r="E49" s="215"/>
      <c r="F49" s="215"/>
      <c r="G49" s="215"/>
      <c r="H49" s="215"/>
      <c r="I49" s="215"/>
      <c r="J49" s="215"/>
      <c r="K49" s="215"/>
      <c r="L49" s="215"/>
      <c r="M49" s="215"/>
    </row>
    <row r="50" spans="3:15" x14ac:dyDescent="0.2">
      <c r="E50" s="64" t="s">
        <v>3</v>
      </c>
      <c r="F50" s="64" t="s">
        <v>684</v>
      </c>
      <c r="G50" s="64" t="s">
        <v>685</v>
      </c>
      <c r="H50" s="64" t="s">
        <v>686</v>
      </c>
      <c r="I50" s="64" t="s">
        <v>1043</v>
      </c>
      <c r="J50" s="64" t="s">
        <v>1135</v>
      </c>
      <c r="K50" s="64" t="s">
        <v>1988</v>
      </c>
      <c r="L50" s="64" t="s">
        <v>1129</v>
      </c>
      <c r="M50" s="64" t="s">
        <v>1455</v>
      </c>
      <c r="N50" s="64" t="s">
        <v>1456</v>
      </c>
      <c r="O50" s="64" t="s">
        <v>1865</v>
      </c>
    </row>
    <row r="51" spans="3:15" x14ac:dyDescent="0.2">
      <c r="D51" s="7" t="s">
        <v>687</v>
      </c>
      <c r="F51" s="181">
        <v>1</v>
      </c>
      <c r="G51" s="181">
        <v>2</v>
      </c>
      <c r="H51" s="181">
        <v>3</v>
      </c>
      <c r="I51" s="181">
        <v>4</v>
      </c>
      <c r="J51" s="181">
        <v>5</v>
      </c>
      <c r="K51" s="181">
        <v>6</v>
      </c>
      <c r="L51" s="181">
        <v>7</v>
      </c>
      <c r="M51" s="86">
        <v>8</v>
      </c>
      <c r="N51" s="86">
        <v>9</v>
      </c>
      <c r="O51" s="86">
        <v>10</v>
      </c>
    </row>
    <row r="52" spans="3:15" x14ac:dyDescent="0.2">
      <c r="D52" s="63" t="s">
        <v>221</v>
      </c>
      <c r="E52" s="14">
        <f>Model!$F$99</f>
        <v>1415.584379662298</v>
      </c>
      <c r="F52" s="10">
        <f t="dataTable" ref="F52:O61" dt2D="0" dtr="1" r1="E8" ca="1"/>
        <v>1444.1276411242598</v>
      </c>
      <c r="G52" s="10">
        <v>1415.936991736693</v>
      </c>
      <c r="H52" s="10">
        <v>1378.9578920958302</v>
      </c>
      <c r="I52" s="10">
        <v>1405.8944211258627</v>
      </c>
      <c r="J52" s="10">
        <v>1322.8914445076684</v>
      </c>
      <c r="K52" s="10">
        <v>1415.584379662298</v>
      </c>
      <c r="L52" s="10">
        <v>1500.0010128120653</v>
      </c>
      <c r="M52" s="4">
        <v>1272.492073769087</v>
      </c>
      <c r="N52" s="4">
        <v>1325.6215437240751</v>
      </c>
      <c r="O52" s="4">
        <v>1301.4293563740302</v>
      </c>
    </row>
    <row r="53" spans="3:15" x14ac:dyDescent="0.2">
      <c r="D53" s="63" t="s">
        <v>5</v>
      </c>
      <c r="E53" s="229">
        <f>Model!$F$100</f>
        <v>82.237886931210411</v>
      </c>
      <c r="F53" s="10">
        <v>83.896097873970845</v>
      </c>
      <c r="G53" s="10">
        <v>82.258371808213354</v>
      </c>
      <c r="H53" s="10">
        <v>80.110083752217207</v>
      </c>
      <c r="I53" s="10">
        <v>81.674952127791911</v>
      </c>
      <c r="J53" s="10">
        <v>76.852922791957226</v>
      </c>
      <c r="K53" s="10">
        <v>82.237886931210411</v>
      </c>
      <c r="L53" s="10">
        <v>87.142042156305621</v>
      </c>
      <c r="M53" s="4">
        <v>73.924988709220031</v>
      </c>
      <c r="N53" s="4">
        <v>77.01152696553774</v>
      </c>
      <c r="O53" s="4">
        <v>75.606090174559398</v>
      </c>
    </row>
    <row r="54" spans="3:15" x14ac:dyDescent="0.2">
      <c r="D54" s="63" t="s">
        <v>219</v>
      </c>
      <c r="E54" s="14">
        <f>Model!$F$95</f>
        <v>0</v>
      </c>
      <c r="F54" s="10">
        <v>0</v>
      </c>
      <c r="G54" s="10">
        <v>0</v>
      </c>
      <c r="H54" s="10">
        <v>0</v>
      </c>
      <c r="I54" s="10">
        <v>0</v>
      </c>
      <c r="J54" s="10">
        <v>0</v>
      </c>
      <c r="K54" s="10">
        <v>0</v>
      </c>
      <c r="L54" s="10">
        <v>0</v>
      </c>
      <c r="M54" s="4">
        <v>0</v>
      </c>
      <c r="N54" s="4">
        <v>0</v>
      </c>
      <c r="O54" s="4">
        <v>0</v>
      </c>
    </row>
    <row r="55" spans="3:15" x14ac:dyDescent="0.2">
      <c r="D55" s="63" t="s">
        <v>224</v>
      </c>
      <c r="E55" s="14">
        <f>Model!$F$106</f>
        <v>133.3394383798726</v>
      </c>
      <c r="F55" s="10">
        <v>135.62290780742367</v>
      </c>
      <c r="G55" s="10">
        <v>133.3394383798726</v>
      </c>
      <c r="H55" s="10">
        <v>133.33803291863194</v>
      </c>
      <c r="I55" s="10">
        <v>133.3394383798726</v>
      </c>
      <c r="J55" s="10">
        <v>133.3394383798726</v>
      </c>
      <c r="K55" s="10">
        <v>133.3394383798726</v>
      </c>
      <c r="L55" s="10">
        <v>133.3394383798726</v>
      </c>
      <c r="M55" s="4">
        <v>133.3394383798726</v>
      </c>
      <c r="N55" s="4">
        <v>133.3394383798726</v>
      </c>
      <c r="O55" s="4">
        <v>133.3394383798726</v>
      </c>
    </row>
    <row r="56" spans="3:15" x14ac:dyDescent="0.2">
      <c r="D56" s="63" t="s">
        <v>816</v>
      </c>
      <c r="E56" s="74">
        <f>Model!$F$29-Model!$F$100</f>
        <v>-8.869312104167193E-4</v>
      </c>
      <c r="F56" s="10">
        <v>-1.6590978739708504</v>
      </c>
      <c r="G56" s="10">
        <v>-2.13718082133596E-2</v>
      </c>
      <c r="H56" s="10">
        <v>2.1269162477827877</v>
      </c>
      <c r="I56" s="10">
        <v>0.56204787220808328</v>
      </c>
      <c r="J56" s="10">
        <v>5.3840772080427683</v>
      </c>
      <c r="K56" s="10">
        <v>-8.869312104167193E-4</v>
      </c>
      <c r="L56" s="10">
        <v>-4.9050421563056261</v>
      </c>
      <c r="M56" s="4">
        <v>8.3120112907799637</v>
      </c>
      <c r="N56" s="4">
        <v>5.2254730344622544</v>
      </c>
      <c r="O56" s="4">
        <v>6.6309098254405967</v>
      </c>
    </row>
    <row r="57" spans="3:15" x14ac:dyDescent="0.2">
      <c r="D57" s="63" t="s">
        <v>1120</v>
      </c>
      <c r="E57" s="73">
        <f>Model!$F$92</f>
        <v>0</v>
      </c>
      <c r="F57" s="224">
        <v>0</v>
      </c>
      <c r="G57" s="224">
        <v>0</v>
      </c>
      <c r="H57" s="224">
        <v>0</v>
      </c>
      <c r="I57" s="224">
        <v>0</v>
      </c>
      <c r="J57" s="224">
        <v>0</v>
      </c>
      <c r="K57" s="224">
        <v>0</v>
      </c>
      <c r="L57" s="224">
        <v>0</v>
      </c>
      <c r="M57" s="73">
        <v>0</v>
      </c>
      <c r="N57" s="73">
        <v>0</v>
      </c>
      <c r="O57" s="73">
        <v>0</v>
      </c>
    </row>
    <row r="58" spans="3:15" x14ac:dyDescent="0.2">
      <c r="D58" s="63" t="s">
        <v>1121</v>
      </c>
      <c r="E58" s="73">
        <f>Model!$F$93</f>
        <v>0</v>
      </c>
      <c r="F58" s="224">
        <v>0</v>
      </c>
      <c r="G58" s="224">
        <v>0</v>
      </c>
      <c r="H58" s="224">
        <v>0</v>
      </c>
      <c r="I58" s="224">
        <v>0</v>
      </c>
      <c r="J58" s="224">
        <v>0</v>
      </c>
      <c r="K58" s="224">
        <v>0</v>
      </c>
      <c r="L58" s="224">
        <v>0</v>
      </c>
      <c r="M58" s="73">
        <v>0</v>
      </c>
      <c r="N58" s="73">
        <v>0</v>
      </c>
      <c r="O58" s="73">
        <v>0</v>
      </c>
    </row>
    <row r="59" spans="3:15" x14ac:dyDescent="0.2">
      <c r="D59" s="63" t="s">
        <v>911</v>
      </c>
      <c r="E59" s="73">
        <f>Model!$H$35</f>
        <v>127.82748148511058</v>
      </c>
      <c r="F59" s="224">
        <v>127.82748148511058</v>
      </c>
      <c r="G59" s="224">
        <v>127.82748148511058</v>
      </c>
      <c r="H59" s="224">
        <v>127.82748148511058</v>
      </c>
      <c r="I59" s="224">
        <v>127.82748148511058</v>
      </c>
      <c r="J59" s="224">
        <v>127.82748148511058</v>
      </c>
      <c r="K59" s="224">
        <v>127.82748148511058</v>
      </c>
      <c r="L59" s="224">
        <v>127.82748148511058</v>
      </c>
      <c r="M59" s="73">
        <v>127.82748148511058</v>
      </c>
      <c r="N59" s="73">
        <v>127.82748148511058</v>
      </c>
      <c r="O59" s="73">
        <v>127.82748148511058</v>
      </c>
    </row>
    <row r="60" spans="3:15" x14ac:dyDescent="0.2">
      <c r="D60" s="63" t="s">
        <v>1128</v>
      </c>
      <c r="E60" s="73">
        <f>Model!$I$35</f>
        <v>194.85302775523087</v>
      </c>
      <c r="F60" s="224">
        <v>194.85302775523087</v>
      </c>
      <c r="G60" s="224">
        <v>194.85302775523087</v>
      </c>
      <c r="H60" s="224">
        <v>194.85302775523087</v>
      </c>
      <c r="I60" s="224">
        <v>194.85302775523087</v>
      </c>
      <c r="J60" s="224">
        <v>194.85302775523087</v>
      </c>
      <c r="K60" s="224">
        <v>194.85302775523087</v>
      </c>
      <c r="L60" s="224">
        <v>194.85302775523087</v>
      </c>
      <c r="M60" s="73">
        <v>194.85302775523087</v>
      </c>
      <c r="N60" s="73">
        <v>194.85302775523087</v>
      </c>
      <c r="O60" s="73">
        <v>194.85302775523087</v>
      </c>
    </row>
    <row r="61" spans="3:15" x14ac:dyDescent="0.2">
      <c r="D61" s="63" t="s">
        <v>1122</v>
      </c>
      <c r="E61" s="73">
        <f>Model!$F$101</f>
        <v>410.53137216965064</v>
      </c>
      <c r="F61" s="224">
        <v>410.53137216965064</v>
      </c>
      <c r="G61" s="224">
        <v>410.53137216965064</v>
      </c>
      <c r="H61" s="224">
        <v>410.53137216965064</v>
      </c>
      <c r="I61" s="224">
        <v>410.53137216965064</v>
      </c>
      <c r="J61" s="224">
        <v>410.53137216965064</v>
      </c>
      <c r="K61" s="224">
        <v>410.53137216965064</v>
      </c>
      <c r="L61" s="224">
        <v>422.58406350201489</v>
      </c>
      <c r="M61" s="73">
        <v>410.53137216965064</v>
      </c>
      <c r="N61" s="73">
        <v>410.53137216965064</v>
      </c>
      <c r="O61" s="73">
        <v>410.53137216965064</v>
      </c>
    </row>
    <row r="63" spans="3:15" x14ac:dyDescent="0.2">
      <c r="C63" s="200" t="s">
        <v>8</v>
      </c>
      <c r="D63" s="203" t="s">
        <v>1989</v>
      </c>
      <c r="E63" s="215"/>
      <c r="F63" s="215"/>
      <c r="G63" s="215"/>
      <c r="H63" s="215"/>
      <c r="I63" s="215"/>
      <c r="J63" s="215"/>
      <c r="K63" s="215"/>
      <c r="L63" s="215"/>
      <c r="M63" s="215"/>
    </row>
    <row r="64" spans="3:15" x14ac:dyDescent="0.2">
      <c r="E64" s="64" t="s">
        <v>1345</v>
      </c>
      <c r="F64" s="64" t="s">
        <v>626</v>
      </c>
      <c r="G64" s="64" t="s">
        <v>627</v>
      </c>
      <c r="H64" s="64" t="s">
        <v>1345</v>
      </c>
      <c r="I64" s="11" t="s">
        <v>688</v>
      </c>
      <c r="N64" s="7" t="s">
        <v>2125</v>
      </c>
    </row>
    <row r="65" spans="3:14" ht="38.25" x14ac:dyDescent="0.2">
      <c r="D65" s="342" t="s">
        <v>2126</v>
      </c>
      <c r="F65" s="231">
        <f>Model!$F$102</f>
        <v>0.49243495017854366</v>
      </c>
      <c r="G65" s="232">
        <f>Model!$F$101</f>
        <v>410.53137216965064</v>
      </c>
      <c r="H65" s="232">
        <f>Model!$F$99</f>
        <v>1415.584379662298</v>
      </c>
      <c r="I65" s="233">
        <f>J65-Inputs!$K$253</f>
        <v>0.15783147702839784</v>
      </c>
      <c r="J65" s="233">
        <f>K65-Inputs!$K$253</f>
        <v>0.20783147702839783</v>
      </c>
      <c r="K65" s="341">
        <v>0.25783147702839782</v>
      </c>
      <c r="L65" s="233">
        <f>K65+Inputs!$K$253</f>
        <v>0.3078314770283978</v>
      </c>
      <c r="M65" s="233">
        <f>L65+Inputs!$K$253</f>
        <v>0.35783147702839779</v>
      </c>
      <c r="N65" s="75">
        <f>1-Inputs!$K$24-Model!$F$15-Inputs!$K$143-Model!$Q$49-Inputs!$K$147-Inputs!$K$152-'Revenue Engine'!$P$85</f>
        <v>0.25783147702839782</v>
      </c>
    </row>
    <row r="66" spans="3:14" x14ac:dyDescent="0.2">
      <c r="D66" s="4"/>
      <c r="E66" s="234">
        <f>MAX(0,E67-Inputs!$K$252)</f>
        <v>0.11710000000000001</v>
      </c>
      <c r="F66" s="10">
        <f t="dataTable" ref="F66:G72" dt2D="0" dtr="0" r1="E9" ca="1"/>
        <v>0.38046415350234564</v>
      </c>
      <c r="G66" s="10">
        <v>277.96810436693823</v>
      </c>
      <c r="H66" s="233">
        <f t="shared" ref="H66:H72" si="0">E66</f>
        <v>0.11710000000000001</v>
      </c>
      <c r="I66" s="10">
        <f t="dataTable" ref="I66:M72" dt2D="1" dtr="1" r1="E10" r2="E9" ca="1"/>
        <v>592.22024629323676</v>
      </c>
      <c r="J66" s="10">
        <v>731.53687499071862</v>
      </c>
      <c r="K66" s="10">
        <v>869.34602119232352</v>
      </c>
      <c r="L66" s="10">
        <v>1006.8432428175262</v>
      </c>
      <c r="M66" s="10">
        <v>1144.340464442728</v>
      </c>
    </row>
    <row r="67" spans="3:14" x14ac:dyDescent="0.2">
      <c r="D67" s="4"/>
      <c r="E67" s="234">
        <f>MAX(0,E68-Inputs!$K$252)</f>
        <v>0.1421</v>
      </c>
      <c r="F67" s="10">
        <v>0.42180274354688341</v>
      </c>
      <c r="G67" s="10">
        <v>322.15586030117561</v>
      </c>
      <c r="H67" s="233">
        <f t="shared" si="0"/>
        <v>0.1421</v>
      </c>
      <c r="I67" s="10">
        <v>718.37295308892692</v>
      </c>
      <c r="J67" s="10">
        <v>886.04293469283937</v>
      </c>
      <c r="K67" s="10">
        <v>1053.4985369350893</v>
      </c>
      <c r="L67" s="10">
        <v>1220.8762717661032</v>
      </c>
      <c r="M67" s="10">
        <v>1388.2437082732113</v>
      </c>
    </row>
    <row r="68" spans="3:14" x14ac:dyDescent="0.2">
      <c r="D68" s="4"/>
      <c r="E68" s="234">
        <f>MAX(0,E69-Inputs!$K$252)</f>
        <v>0.1671</v>
      </c>
      <c r="F68" s="10">
        <v>0.45882724755780635</v>
      </c>
      <c r="G68" s="10">
        <v>366.34361623541321</v>
      </c>
      <c r="H68" s="233">
        <f t="shared" si="0"/>
        <v>0.1671</v>
      </c>
      <c r="I68" s="10">
        <v>843.49715518809057</v>
      </c>
      <c r="J68" s="10">
        <v>1040.2166978074206</v>
      </c>
      <c r="K68" s="10">
        <v>1235.9799099208333</v>
      </c>
      <c r="L68" s="10">
        <v>1431.4830000956035</v>
      </c>
      <c r="M68" s="10">
        <v>1626.982389490928</v>
      </c>
    </row>
    <row r="69" spans="3:14" x14ac:dyDescent="0.2">
      <c r="D69" s="4" t="s">
        <v>689</v>
      </c>
      <c r="E69" s="234">
        <f>MAX(0,Inputs!$G$14)</f>
        <v>0.19209999999999999</v>
      </c>
      <c r="F69" s="10">
        <v>0.49243495017854366</v>
      </c>
      <c r="G69" s="10">
        <v>410.53137216965064</v>
      </c>
      <c r="H69" s="233">
        <f t="shared" si="0"/>
        <v>0.19209999999999999</v>
      </c>
      <c r="I69" s="10">
        <v>965.77019997118339</v>
      </c>
      <c r="J69" s="10">
        <v>1190.6772898167403</v>
      </c>
      <c r="K69" s="10">
        <v>1415.5843796622978</v>
      </c>
      <c r="L69" s="10">
        <v>1640.3821708839941</v>
      </c>
      <c r="M69" s="10">
        <v>1865.1435176448572</v>
      </c>
    </row>
    <row r="70" spans="3:14" x14ac:dyDescent="0.2">
      <c r="D70" s="4"/>
      <c r="E70" s="234">
        <f>MAX(0,E69+Inputs!$K$252)</f>
        <v>0.21709999999999999</v>
      </c>
      <c r="F70" s="10">
        <v>0.52326262194689188</v>
      </c>
      <c r="G70" s="10">
        <v>454.71912810388824</v>
      </c>
      <c r="H70" s="233">
        <f t="shared" si="0"/>
        <v>0.21709999999999999</v>
      </c>
      <c r="I70" s="10">
        <v>1088.6433228084286</v>
      </c>
      <c r="J70" s="10">
        <v>1341.8163562415898</v>
      </c>
      <c r="K70" s="10">
        <v>1594.9856763879475</v>
      </c>
      <c r="L70" s="10">
        <v>1848.1543349352496</v>
      </c>
      <c r="M70" s="10">
        <v>2101.2510380564331</v>
      </c>
    </row>
    <row r="71" spans="3:14" x14ac:dyDescent="0.2">
      <c r="D71" s="4"/>
      <c r="E71" s="234">
        <f>MAX(0,E70+Inputs!$K$252)</f>
        <v>0.24209999999999998</v>
      </c>
      <c r="F71" s="10">
        <v>0.55177960634152079</v>
      </c>
      <c r="G71" s="10">
        <v>498.90688403812578</v>
      </c>
      <c r="H71" s="233">
        <f t="shared" si="0"/>
        <v>0.24209999999999998</v>
      </c>
      <c r="I71" s="10">
        <v>1211.7811180777562</v>
      </c>
      <c r="J71" s="10">
        <v>1493.2812570535771</v>
      </c>
      <c r="K71" s="10">
        <v>1774.7813960293988</v>
      </c>
      <c r="L71" s="10">
        <v>2056.2815350052219</v>
      </c>
      <c r="M71" s="10">
        <v>2337.7816739810442</v>
      </c>
    </row>
    <row r="72" spans="3:14" x14ac:dyDescent="0.2">
      <c r="D72" s="4"/>
      <c r="E72" s="234">
        <f>MAX(0,E71+Inputs!$K$252)</f>
        <v>0.2671</v>
      </c>
      <c r="F72" s="10">
        <v>0.57834247503100911</v>
      </c>
      <c r="G72" s="10">
        <v>543.09463997236332</v>
      </c>
      <c r="H72" s="233">
        <f t="shared" si="0"/>
        <v>0.2671</v>
      </c>
      <c r="I72" s="10">
        <v>1335.4285274774461</v>
      </c>
      <c r="J72" s="10">
        <v>1645.3382132674265</v>
      </c>
      <c r="K72" s="10">
        <v>1955.2478990574091</v>
      </c>
      <c r="L72" s="10">
        <v>2265.1482838806933</v>
      </c>
      <c r="M72" s="10">
        <v>2575.0308870580566</v>
      </c>
    </row>
    <row r="73" spans="3:14" x14ac:dyDescent="0.2">
      <c r="D73" s="7" t="s">
        <v>690</v>
      </c>
    </row>
    <row r="74" spans="3:14" x14ac:dyDescent="0.2">
      <c r="C74" s="200" t="s">
        <v>8</v>
      </c>
      <c r="D74" s="203" t="s">
        <v>2120</v>
      </c>
      <c r="E74" s="215"/>
      <c r="F74" s="215"/>
      <c r="G74" s="215"/>
      <c r="H74" s="215"/>
      <c r="I74" s="215"/>
      <c r="J74" s="215"/>
      <c r="K74" s="215"/>
      <c r="L74" s="215"/>
      <c r="M74" s="215"/>
    </row>
    <row r="75" spans="3:14" x14ac:dyDescent="0.2">
      <c r="I75" s="233">
        <f>I65</f>
        <v>0.15783147702839784</v>
      </c>
      <c r="J75" s="233">
        <f>J65</f>
        <v>0.20783147702839783</v>
      </c>
      <c r="K75" s="233">
        <f>K65</f>
        <v>0.25783147702839782</v>
      </c>
      <c r="L75" s="233">
        <f>L65</f>
        <v>0.3078314770283978</v>
      </c>
      <c r="M75" s="233">
        <f>M65</f>
        <v>0.35783147702839779</v>
      </c>
    </row>
    <row r="76" spans="3:14" x14ac:dyDescent="0.2">
      <c r="E76" s="234">
        <f t="shared" ref="E76:E82" si="1">E66</f>
        <v>0.11710000000000001</v>
      </c>
      <c r="I76" s="74">
        <f>I66*MperB/'Dilution Calcs'!$I$50</f>
        <v>34.404831215116516</v>
      </c>
      <c r="J76" s="74">
        <f>J66*MperB/'Dilution Calcs'!$I$50</f>
        <v>42.498382770972306</v>
      </c>
      <c r="K76" s="74">
        <f>K66*MperB/'Dilution Calcs'!$I$50</f>
        <v>50.504357650490157</v>
      </c>
      <c r="L76" s="74">
        <f>L66*MperB/'Dilution Calcs'!$I$50</f>
        <v>58.492211379185946</v>
      </c>
      <c r="M76" s="74">
        <f>M66*MperB/'Dilution Calcs'!$I$50</f>
        <v>66.480065107881686</v>
      </c>
    </row>
    <row r="77" spans="3:14" x14ac:dyDescent="0.2">
      <c r="E77" s="234">
        <f t="shared" si="1"/>
        <v>0.1421</v>
      </c>
      <c r="I77" s="74">
        <f>I67*MperB/'Dilution Calcs'!$I$50</f>
        <v>41.733629262467858</v>
      </c>
      <c r="J77" s="74">
        <f>J67*MperB/'Dilution Calcs'!$I$50</f>
        <v>51.474359088965478</v>
      </c>
      <c r="K77" s="74">
        <f>K67*MperB/'Dilution Calcs'!$I$50</f>
        <v>61.202634620291391</v>
      </c>
      <c r="L77" s="74">
        <f>L67*MperB/'Dilution Calcs'!$I$50</f>
        <v>70.926386471183349</v>
      </c>
      <c r="M77" s="74">
        <f>M67*MperB/'Dilution Calcs'!$I$50</f>
        <v>80.649540044495339</v>
      </c>
    </row>
    <row r="78" spans="3:14" x14ac:dyDescent="0.2">
      <c r="E78" s="234">
        <f t="shared" si="1"/>
        <v>0.1671</v>
      </c>
      <c r="I78" s="74">
        <f>I68*MperB/'Dilution Calcs'!$I$50</f>
        <v>49.002676683748184</v>
      </c>
      <c r="J78" s="74">
        <f>J68*MperB/'Dilution Calcs'!$I$50</f>
        <v>60.431030751166809</v>
      </c>
      <c r="K78" s="74">
        <f>K68*MperB/'Dilution Calcs'!$I$50</f>
        <v>71.803827127257094</v>
      </c>
      <c r="L78" s="74">
        <f>L68*MperB/'Dilution Calcs'!$I$50</f>
        <v>83.16151180892227</v>
      </c>
      <c r="M78" s="74">
        <f>M68*MperB/'Dilution Calcs'!$I$50</f>
        <v>94.518981495080297</v>
      </c>
    </row>
    <row r="79" spans="3:14" x14ac:dyDescent="0.2">
      <c r="E79" s="234">
        <f t="shared" si="1"/>
        <v>0.19209999999999999</v>
      </c>
      <c r="I79" s="74">
        <f>I69*MperB/'Dilution Calcs'!$I$50</f>
        <v>56.106087102847084</v>
      </c>
      <c r="J79" s="74">
        <f>J69*MperB/'Dilution Calcs'!$I$50</f>
        <v>69.171987017028712</v>
      </c>
      <c r="K79" s="74">
        <f>K69*MperB/'Dilution Calcs'!$I$50</f>
        <v>82.237886931210397</v>
      </c>
      <c r="L79" s="74">
        <f>L69*MperB/'Dilution Calcs'!$I$50</f>
        <v>95.297437179487318</v>
      </c>
      <c r="M79" s="74">
        <f>M69*MperB/'Dilution Calcs'!$I$50</f>
        <v>108.35487019936562</v>
      </c>
    </row>
    <row r="80" spans="3:14" x14ac:dyDescent="0.2">
      <c r="E80" s="234">
        <f t="shared" si="1"/>
        <v>0.21709999999999999</v>
      </c>
      <c r="I80" s="74">
        <f>I70*MperB/'Dilution Calcs'!$I$50</f>
        <v>63.244358849802012</v>
      </c>
      <c r="J80" s="74">
        <f>J70*MperB/'Dilution Calcs'!$I$50</f>
        <v>77.952359020356866</v>
      </c>
      <c r="K80" s="74">
        <f>K70*MperB/'Dilution Calcs'!$I$50</f>
        <v>92.660143468793919</v>
      </c>
      <c r="L80" s="74">
        <f>L70*MperB/'Dilution Calcs'!$I$50</f>
        <v>107.36788948186174</v>
      </c>
      <c r="M80" s="74">
        <f>M70*MperB/'Dilution Calcs'!$I$50</f>
        <v>122.07145526923462</v>
      </c>
    </row>
    <row r="81" spans="3:13" x14ac:dyDescent="0.2">
      <c r="E81" s="234">
        <f t="shared" si="1"/>
        <v>0.24209999999999998</v>
      </c>
      <c r="I81" s="74">
        <f>I71*MperB/'Dilution Calcs'!$I$50</f>
        <v>70.398006650530988</v>
      </c>
      <c r="J81" s="74">
        <f>J71*MperB/'Dilution Calcs'!$I$50</f>
        <v>86.751660260170453</v>
      </c>
      <c r="K81" s="74">
        <f>K71*MperB/'Dilution Calcs'!$I$50</f>
        <v>103.10531386980995</v>
      </c>
      <c r="L81" s="74">
        <f>L71*MperB/'Dilution Calcs'!$I$50</f>
        <v>119.45896747944954</v>
      </c>
      <c r="M81" s="74">
        <f>M71*MperB/'Dilution Calcs'!$I$50</f>
        <v>135.81262108908908</v>
      </c>
    </row>
    <row r="82" spans="3:13" x14ac:dyDescent="0.2">
      <c r="E82" s="234">
        <f t="shared" si="1"/>
        <v>0.2671</v>
      </c>
      <c r="I82" s="74">
        <f>I72*MperB/'Dilution Calcs'!$I$50</f>
        <v>77.581260308624167</v>
      </c>
      <c r="J82" s="74">
        <f>J72*MperB/'Dilution Calcs'!$I$50</f>
        <v>95.585356754618701</v>
      </c>
      <c r="K82" s="74">
        <f>K72*MperB/'Dilution Calcs'!$I$50</f>
        <v>113.58945320061336</v>
      </c>
      <c r="L82" s="74">
        <f>L72*MperB/'Dilution Calcs'!$I$50</f>
        <v>131.59300931015144</v>
      </c>
      <c r="M82" s="74">
        <f>M72*MperB/'Dilution Calcs'!$I$50</f>
        <v>149.59553240109472</v>
      </c>
    </row>
    <row r="84" spans="3:13" x14ac:dyDescent="0.2">
      <c r="C84" s="200" t="s">
        <v>8</v>
      </c>
      <c r="D84" s="203" t="s">
        <v>2111</v>
      </c>
      <c r="E84" s="215"/>
      <c r="F84" s="215"/>
      <c r="G84" s="215"/>
      <c r="H84" s="215"/>
      <c r="I84" s="215"/>
      <c r="J84" s="215"/>
      <c r="K84" s="215"/>
      <c r="L84" s="215"/>
      <c r="M84" s="215"/>
    </row>
    <row r="85" spans="3:13" x14ac:dyDescent="0.2">
      <c r="H85" s="232">
        <f>Model!$F$95</f>
        <v>0</v>
      </c>
      <c r="I85" s="233">
        <f>I65</f>
        <v>0.15783147702839784</v>
      </c>
      <c r="J85" s="233">
        <f>J65</f>
        <v>0.20783147702839783</v>
      </c>
      <c r="K85" s="233">
        <f>K65</f>
        <v>0.25783147702839782</v>
      </c>
      <c r="L85" s="233">
        <f>L65</f>
        <v>0.3078314770283978</v>
      </c>
      <c r="M85" s="233">
        <f>M65</f>
        <v>0.35783147702839779</v>
      </c>
    </row>
    <row r="86" spans="3:13" x14ac:dyDescent="0.2">
      <c r="H86" s="233">
        <f t="shared" ref="H86:H92" si="2">E66</f>
        <v>0.11710000000000001</v>
      </c>
      <c r="I86" s="344">
        <f t="dataTable" ref="I86:M92" dt2D="1" dtr="1" r1="E10" r2="E9" ca="1"/>
        <v>0</v>
      </c>
      <c r="J86" s="344">
        <v>0</v>
      </c>
      <c r="K86" s="344">
        <v>0</v>
      </c>
      <c r="L86" s="344">
        <v>0</v>
      </c>
      <c r="M86" s="344">
        <v>0</v>
      </c>
    </row>
    <row r="87" spans="3:13" x14ac:dyDescent="0.2">
      <c r="H87" s="233">
        <f t="shared" si="2"/>
        <v>0.1421</v>
      </c>
      <c r="I87" s="344">
        <v>0</v>
      </c>
      <c r="J87" s="344">
        <v>0</v>
      </c>
      <c r="K87" s="344">
        <v>0</v>
      </c>
      <c r="L87" s="344">
        <v>0</v>
      </c>
      <c r="M87" s="344">
        <v>0</v>
      </c>
    </row>
    <row r="88" spans="3:13" x14ac:dyDescent="0.2">
      <c r="H88" s="233">
        <f t="shared" si="2"/>
        <v>0.1671</v>
      </c>
      <c r="I88" s="344">
        <v>0</v>
      </c>
      <c r="J88" s="344">
        <v>0</v>
      </c>
      <c r="K88" s="344">
        <v>0</v>
      </c>
      <c r="L88" s="344">
        <v>0</v>
      </c>
      <c r="M88" s="344">
        <v>0</v>
      </c>
    </row>
    <row r="89" spans="3:13" x14ac:dyDescent="0.2">
      <c r="H89" s="233">
        <f t="shared" si="2"/>
        <v>0.19209999999999999</v>
      </c>
      <c r="I89" s="344">
        <v>0</v>
      </c>
      <c r="J89" s="344">
        <v>0</v>
      </c>
      <c r="K89" s="344">
        <v>0</v>
      </c>
      <c r="L89" s="344">
        <v>0</v>
      </c>
      <c r="M89" s="344">
        <v>0</v>
      </c>
    </row>
    <row r="90" spans="3:13" x14ac:dyDescent="0.2">
      <c r="H90" s="233">
        <f t="shared" si="2"/>
        <v>0.21709999999999999</v>
      </c>
      <c r="I90" s="344">
        <v>0</v>
      </c>
      <c r="J90" s="344">
        <v>0</v>
      </c>
      <c r="K90" s="344">
        <v>0</v>
      </c>
      <c r="L90" s="344">
        <v>0</v>
      </c>
      <c r="M90" s="344">
        <v>0</v>
      </c>
    </row>
    <row r="91" spans="3:13" x14ac:dyDescent="0.2">
      <c r="H91" s="233">
        <f t="shared" si="2"/>
        <v>0.24209999999999998</v>
      </c>
      <c r="I91" s="344">
        <v>0</v>
      </c>
      <c r="J91" s="344">
        <v>0</v>
      </c>
      <c r="K91" s="344">
        <v>0</v>
      </c>
      <c r="L91" s="344">
        <v>0</v>
      </c>
      <c r="M91" s="344">
        <v>0</v>
      </c>
    </row>
    <row r="92" spans="3:13" x14ac:dyDescent="0.2">
      <c r="H92" s="233">
        <f t="shared" si="2"/>
        <v>0.2671</v>
      </c>
      <c r="I92" s="344">
        <v>0</v>
      </c>
      <c r="J92" s="344">
        <v>0</v>
      </c>
      <c r="K92" s="344">
        <v>0</v>
      </c>
      <c r="L92" s="344">
        <v>0</v>
      </c>
      <c r="M92" s="344">
        <v>0</v>
      </c>
    </row>
    <row r="93" spans="3:13" x14ac:dyDescent="0.2">
      <c r="D93" s="11" t="s">
        <v>691</v>
      </c>
      <c r="I93" s="235">
        <f>COUNTIF(I86:M92,"&gt;"&amp;Tol)</f>
        <v>0</v>
      </c>
    </row>
    <row r="94" spans="3:13" x14ac:dyDescent="0.2">
      <c r="D94" s="7" t="s">
        <v>2143</v>
      </c>
    </row>
    <row r="96" spans="3:13" x14ac:dyDescent="0.2">
      <c r="C96" s="200" t="s">
        <v>8</v>
      </c>
      <c r="D96" s="203" t="s">
        <v>2112</v>
      </c>
      <c r="E96" s="215"/>
      <c r="F96" s="215"/>
      <c r="G96" s="215"/>
      <c r="H96" s="215"/>
      <c r="I96" s="215"/>
      <c r="J96" s="215"/>
      <c r="K96" s="215"/>
      <c r="L96" s="215"/>
      <c r="M96" s="215"/>
    </row>
    <row r="97" spans="2:13" x14ac:dyDescent="0.2">
      <c r="H97" s="232">
        <f>Model!$F$99</f>
        <v>1415.584379662298</v>
      </c>
      <c r="I97" s="233">
        <f>J97-Inputs!$K$255</f>
        <v>2.5000000000000001E-2</v>
      </c>
      <c r="J97" s="233">
        <f>K97-Inputs!$K$255</f>
        <v>3.0000000000000002E-2</v>
      </c>
      <c r="K97" s="233">
        <f>Inputs!$K$185</f>
        <v>3.5000000000000003E-2</v>
      </c>
      <c r="L97" s="233">
        <f>K97+Inputs!$K$255</f>
        <v>0.04</v>
      </c>
      <c r="M97" s="233">
        <f>L97+Inputs!$K$255</f>
        <v>4.4999999999999998E-2</v>
      </c>
    </row>
    <row r="98" spans="2:13" x14ac:dyDescent="0.2">
      <c r="H98" s="233">
        <f>H99-Inputs!$K$254</f>
        <v>7.690000000000001E-2</v>
      </c>
      <c r="I98" s="10">
        <f t="dataTable" ref="I98:M102" dt2D="1" dtr="1" r1="E12" r2="E11" ca="1"/>
        <v>1857.4022643311828</v>
      </c>
      <c r="J98" s="10">
        <v>1893.0641955785663</v>
      </c>
      <c r="K98" s="10">
        <v>1930.0016916042227</v>
      </c>
      <c r="L98" s="10">
        <v>1968.2576366581266</v>
      </c>
      <c r="M98" s="10">
        <v>2007.876201688171</v>
      </c>
    </row>
    <row r="99" spans="2:13" x14ac:dyDescent="0.2">
      <c r="H99" s="233">
        <f>H100-Inputs!$K$254</f>
        <v>8.6900000000000005E-2</v>
      </c>
      <c r="I99" s="10">
        <v>1583.8383166361916</v>
      </c>
      <c r="J99" s="10">
        <v>1610.8511174783191</v>
      </c>
      <c r="K99" s="10">
        <v>1638.8160711186381</v>
      </c>
      <c r="L99" s="10">
        <v>1667.7649884600842</v>
      </c>
      <c r="M99" s="10">
        <v>1697.730631993604</v>
      </c>
    </row>
    <row r="100" spans="2:13" x14ac:dyDescent="0.2">
      <c r="H100" s="233">
        <f>DCF!$E$9+Inputs!$K$184</f>
        <v>9.69E-2</v>
      </c>
      <c r="I100" s="10">
        <v>1373.3135039913279</v>
      </c>
      <c r="J100" s="10">
        <v>1394.0881812590628</v>
      </c>
      <c r="K100" s="10">
        <v>1415.584379662298</v>
      </c>
      <c r="L100" s="10">
        <v>1437.8260524306686</v>
      </c>
      <c r="M100" s="10">
        <v>1460.837867160757</v>
      </c>
    </row>
    <row r="101" spans="2:13" x14ac:dyDescent="0.2">
      <c r="H101" s="233">
        <f>H100+Inputs!$K$254</f>
        <v>0.1069</v>
      </c>
      <c r="I101" s="10">
        <v>1207.4041272997565</v>
      </c>
      <c r="J101" s="10">
        <v>1223.5828184038824</v>
      </c>
      <c r="K101" s="10">
        <v>1240.3150847571353</v>
      </c>
      <c r="L101" s="10">
        <v>1257.6191867194666</v>
      </c>
      <c r="M101" s="10">
        <v>1275.513927577475</v>
      </c>
    </row>
    <row r="102" spans="2:13" x14ac:dyDescent="0.2">
      <c r="H102" s="233">
        <f>H101+Inputs!$K$254</f>
        <v>0.11689999999999999</v>
      </c>
      <c r="I102" s="10">
        <v>1074.0863505297145</v>
      </c>
      <c r="J102" s="10">
        <v>1086.8198602965017</v>
      </c>
      <c r="K102" s="10">
        <v>1099.9825536685103</v>
      </c>
      <c r="L102" s="10">
        <v>1113.5884964895272</v>
      </c>
      <c r="M102" s="10">
        <v>1127.6521715327497</v>
      </c>
    </row>
    <row r="104" spans="2:13" x14ac:dyDescent="0.2">
      <c r="C104" s="200" t="s">
        <v>8</v>
      </c>
      <c r="D104" s="203" t="s">
        <v>2113</v>
      </c>
      <c r="E104" s="215"/>
      <c r="F104" s="215"/>
      <c r="G104" s="215"/>
      <c r="H104" s="215"/>
      <c r="I104" s="215"/>
      <c r="J104" s="215"/>
      <c r="K104" s="215"/>
      <c r="L104" s="215"/>
      <c r="M104" s="215"/>
    </row>
    <row r="105" spans="2:13" x14ac:dyDescent="0.2">
      <c r="I105" s="233">
        <f>I97</f>
        <v>2.5000000000000001E-2</v>
      </c>
      <c r="J105" s="233">
        <f>J97</f>
        <v>3.0000000000000002E-2</v>
      </c>
      <c r="K105" s="233">
        <f>K97</f>
        <v>3.5000000000000003E-2</v>
      </c>
      <c r="L105" s="233">
        <f>L97</f>
        <v>0.04</v>
      </c>
      <c r="M105" s="233">
        <f>M97</f>
        <v>4.4999999999999998E-2</v>
      </c>
    </row>
    <row r="106" spans="2:13" x14ac:dyDescent="0.2">
      <c r="H106" s="233">
        <f>H98</f>
        <v>7.690000000000001E-2</v>
      </c>
      <c r="I106" s="74">
        <f>I98*MperB/'Dilution Calcs'!$I$50</f>
        <v>107.90514475462194</v>
      </c>
      <c r="J106" s="74">
        <f>J98*MperB/'Dilution Calcs'!$I$50</f>
        <v>109.97691236650431</v>
      </c>
      <c r="K106" s="74">
        <f>K98*MperB/'Dilution Calcs'!$I$50</f>
        <v>112.12278347480562</v>
      </c>
      <c r="L106" s="74">
        <f>L98*MperB/'Dilution Calcs'!$I$50</f>
        <v>114.34524942525647</v>
      </c>
      <c r="M106" s="74">
        <f>M98*MperB/'Dilution Calcs'!$I$50</f>
        <v>116.64687631385981</v>
      </c>
    </row>
    <row r="107" spans="2:13" x14ac:dyDescent="0.2">
      <c r="H107" s="233">
        <f>H99</f>
        <v>8.6900000000000005E-2</v>
      </c>
      <c r="I107" s="74">
        <f>I99*MperB/'Dilution Calcs'!$I$50</f>
        <v>92.012541443780677</v>
      </c>
      <c r="J107" s="74">
        <f>J99*MperB/'Dilution Calcs'!$I$50</f>
        <v>93.581840804006831</v>
      </c>
      <c r="K107" s="74">
        <f>K99*MperB/'Dilution Calcs'!$I$50</f>
        <v>95.206455153070024</v>
      </c>
      <c r="L107" s="74">
        <f>L99*MperB/'Dilution Calcs'!$I$50</f>
        <v>96.888232534418876</v>
      </c>
      <c r="M107" s="74">
        <f>M99*MperB/'Dilution Calcs'!$I$50</f>
        <v>98.629076273679715</v>
      </c>
    </row>
    <row r="108" spans="2:13" x14ac:dyDescent="0.2">
      <c r="H108" s="233">
        <f>H100</f>
        <v>9.69E-2</v>
      </c>
      <c r="I108" s="74">
        <f>I100*MperB/'Dilution Calcs'!$I$50</f>
        <v>79.782174969524462</v>
      </c>
      <c r="J108" s="74">
        <f>J100*MperB/'Dilution Calcs'!$I$50</f>
        <v>80.989072689449813</v>
      </c>
      <c r="K108" s="74">
        <f>K100*MperB/'Dilution Calcs'!$I$50</f>
        <v>82.237886931210411</v>
      </c>
      <c r="L108" s="74">
        <f>L100*MperB/'Dilution Calcs'!$I$50</f>
        <v>83.530009249431089</v>
      </c>
      <c r="M108" s="74">
        <f>M100*MperB/'Dilution Calcs'!$I$50</f>
        <v>84.866872699638449</v>
      </c>
    </row>
    <row r="109" spans="2:13" x14ac:dyDescent="0.2">
      <c r="H109" s="233">
        <f>H101</f>
        <v>0.1069</v>
      </c>
      <c r="I109" s="74">
        <f>I101*MperB/'Dilution Calcs'!$I$50</f>
        <v>70.143726878959924</v>
      </c>
      <c r="J109" s="74">
        <f>J101*MperB/'Dilution Calcs'!$I$50</f>
        <v>71.083622365821327</v>
      </c>
      <c r="K109" s="74">
        <f>K101*MperB/'Dilution Calcs'!$I$50</f>
        <v>72.055677616098933</v>
      </c>
      <c r="L109" s="74">
        <f>L101*MperB/'Dilution Calcs'!$I$50</f>
        <v>73.060953459114259</v>
      </c>
      <c r="M109" s="74">
        <f>M101*MperB/'Dilution Calcs'!$I$50</f>
        <v>74.100542265325359</v>
      </c>
    </row>
    <row r="110" spans="2:13" x14ac:dyDescent="0.2">
      <c r="H110" s="233">
        <f>H102</f>
        <v>0.11689999999999999</v>
      </c>
      <c r="I110" s="74">
        <f>I102*MperB/'Dilution Calcs'!$I$50</f>
        <v>62.398676559493573</v>
      </c>
      <c r="J110" s="74">
        <f>J102*MperB/'Dilution Calcs'!$I$50</f>
        <v>63.138425423272594</v>
      </c>
      <c r="K110" s="74">
        <f>K102*MperB/'Dilution Calcs'!$I$50</f>
        <v>63.90310756076245</v>
      </c>
      <c r="L110" s="74">
        <f>L102*MperB/'Dilution Calcs'!$I$50</f>
        <v>64.693540122312925</v>
      </c>
      <c r="M110" s="74">
        <f>M102*MperB/'Dilution Calcs'!$I$50</f>
        <v>65.510564479644231</v>
      </c>
    </row>
    <row r="112" spans="2:13" x14ac:dyDescent="0.2">
      <c r="B112" s="5" t="s">
        <v>8</v>
      </c>
      <c r="C112" s="5" t="s">
        <v>8</v>
      </c>
      <c r="D112" s="126" t="s">
        <v>1990</v>
      </c>
      <c r="E112" s="95"/>
      <c r="F112" s="95"/>
      <c r="G112" s="95"/>
      <c r="H112" s="95"/>
      <c r="I112" s="95"/>
      <c r="J112" s="95"/>
      <c r="K112" s="95"/>
      <c r="L112" s="95"/>
      <c r="M112" s="95"/>
    </row>
    <row r="114" spans="4:10" x14ac:dyDescent="0.2">
      <c r="D114" s="10" t="s">
        <v>1991</v>
      </c>
      <c r="E114" s="79"/>
    </row>
    <row r="115" spans="4:10" x14ac:dyDescent="0.2">
      <c r="D115" s="10" t="s">
        <v>1992</v>
      </c>
      <c r="E115" s="79"/>
    </row>
    <row r="116" spans="4:10" x14ac:dyDescent="0.2">
      <c r="D116" s="10" t="s">
        <v>1993</v>
      </c>
      <c r="E116" s="79"/>
    </row>
    <row r="117" spans="4:10" x14ac:dyDescent="0.2">
      <c r="D117" s="10" t="s">
        <v>1994</v>
      </c>
      <c r="E117" s="79"/>
    </row>
    <row r="118" spans="4:10" x14ac:dyDescent="0.2">
      <c r="D118" s="10" t="s">
        <v>1995</v>
      </c>
      <c r="E118" s="79"/>
    </row>
    <row r="119" spans="4:10" x14ac:dyDescent="0.2">
      <c r="D119" s="10" t="s">
        <v>1996</v>
      </c>
      <c r="E119" s="78"/>
    </row>
    <row r="120" spans="4:10" x14ac:dyDescent="0.2">
      <c r="D120" s="10" t="s">
        <v>2135</v>
      </c>
    </row>
    <row r="121" spans="4:10" x14ac:dyDescent="0.2">
      <c r="D121" s="11" t="s">
        <v>1997</v>
      </c>
    </row>
    <row r="122" spans="4:10" x14ac:dyDescent="0.2">
      <c r="E122" s="225">
        <f>Model!$F$100</f>
        <v>82.237886931210411</v>
      </c>
      <c r="F122" s="127">
        <v>0.3</v>
      </c>
      <c r="G122" s="127">
        <v>0.375</v>
      </c>
      <c r="H122" s="127">
        <f>ROUND(('Revenue Engine'!$F$14*Inputs!$K$19+(1-'Revenue Engine'!$F$14)*Inputs!$K$20),4)</f>
        <v>0.45</v>
      </c>
      <c r="I122" s="127">
        <v>0.52500000000000002</v>
      </c>
      <c r="J122" s="127">
        <v>0.6</v>
      </c>
    </row>
    <row r="123" spans="4:10" x14ac:dyDescent="0.2">
      <c r="E123" s="128">
        <v>300</v>
      </c>
      <c r="F123" s="225">
        <f t="dataTable" ref="F123:J127" dt2D="1" dtr="1" r1="E115" r2="E114" ca="1"/>
        <v>17.992998650147168</v>
      </c>
      <c r="G123" s="225">
        <v>23.880855177199834</v>
      </c>
      <c r="H123" s="225">
        <v>29.454971065822935</v>
      </c>
      <c r="I123" s="225">
        <v>35.059043498794594</v>
      </c>
      <c r="J123" s="225">
        <v>40.411802658972547</v>
      </c>
    </row>
    <row r="124" spans="4:10" x14ac:dyDescent="0.2">
      <c r="E124" s="128">
        <v>450</v>
      </c>
      <c r="F124" s="225">
        <v>33.038927995440233</v>
      </c>
      <c r="G124" s="225">
        <v>41.108558911783511</v>
      </c>
      <c r="H124" s="225">
        <v>48.737055050530103</v>
      </c>
      <c r="I124" s="225">
        <v>56.321649507586848</v>
      </c>
      <c r="J124" s="225">
        <v>63.710368838921852</v>
      </c>
    </row>
    <row r="125" spans="4:10" x14ac:dyDescent="0.2">
      <c r="E125" s="128">
        <f>'Revenue Engine'!$F$6*Inputs!$K$87+'Revenue Engine'!$F$7*Inputs!$K$88+'Revenue Engine'!$F$8*Inputs!$K$14*Inputs!$K$116</f>
        <v>735.11907759088422</v>
      </c>
      <c r="F125" s="225">
        <v>57.750362539366812</v>
      </c>
      <c r="G125" s="225">
        <v>70.056157712866053</v>
      </c>
      <c r="H125" s="225">
        <v>82.237886931210411</v>
      </c>
      <c r="I125" s="225">
        <v>94.462357642400306</v>
      </c>
      <c r="J125" s="225">
        <v>106.74426412301891</v>
      </c>
    </row>
    <row r="126" spans="4:10" x14ac:dyDescent="0.2">
      <c r="E126" s="128">
        <v>800</v>
      </c>
      <c r="F126" s="225">
        <v>63.092984198489951</v>
      </c>
      <c r="G126" s="225">
        <v>76.409300580827946</v>
      </c>
      <c r="H126" s="225">
        <v>89.722681833496495</v>
      </c>
      <c r="I126" s="225">
        <v>103.10522033526387</v>
      </c>
      <c r="J126" s="225">
        <v>116.54474507770384</v>
      </c>
    </row>
    <row r="127" spans="4:10" x14ac:dyDescent="0.2">
      <c r="E127" s="128">
        <v>1000</v>
      </c>
      <c r="F127" s="225">
        <v>79.233254354739216</v>
      </c>
      <c r="G127" s="225">
        <v>96.005832533670315</v>
      </c>
      <c r="H127" s="225">
        <v>112.89715549445413</v>
      </c>
      <c r="I127" s="225">
        <v>129.86951550957465</v>
      </c>
      <c r="J127" s="225">
        <v>146.91890882989071</v>
      </c>
    </row>
    <row r="128" spans="4:10" x14ac:dyDescent="0.2">
      <c r="D128" s="7" t="s">
        <v>1822</v>
      </c>
    </row>
    <row r="130" spans="4:10" x14ac:dyDescent="0.2">
      <c r="D130" s="11" t="s">
        <v>1998</v>
      </c>
    </row>
    <row r="131" spans="4:10" x14ac:dyDescent="0.2">
      <c r="E131" s="225">
        <f>Model!$F$100</f>
        <v>82.237886931210411</v>
      </c>
      <c r="F131" s="127">
        <v>0.08</v>
      </c>
      <c r="G131" s="127">
        <v>0.1</v>
      </c>
      <c r="H131" s="127">
        <f>Inputs!$K$21</f>
        <v>0.12</v>
      </c>
      <c r="I131" s="127">
        <v>0.15</v>
      </c>
      <c r="J131" s="127">
        <v>0.2</v>
      </c>
    </row>
    <row r="132" spans="4:10" x14ac:dyDescent="0.2">
      <c r="E132" s="127">
        <v>0.2</v>
      </c>
      <c r="F132" s="225">
        <f t="dataTable" ref="F132:J136" dt2D="1" dtr="1" r1="E117" r2="E116" ca="1"/>
        <v>63.653174680396432</v>
      </c>
      <c r="G132" s="225">
        <v>62.085455890119242</v>
      </c>
      <c r="H132" s="225">
        <v>60.51773709984203</v>
      </c>
      <c r="I132" s="225">
        <v>58.16604418050656</v>
      </c>
      <c r="J132" s="225">
        <v>54.239097420977778</v>
      </c>
    </row>
    <row r="133" spans="4:10" x14ac:dyDescent="0.2">
      <c r="E133" s="127">
        <v>0.3</v>
      </c>
      <c r="F133" s="225">
        <v>75.899607037904119</v>
      </c>
      <c r="G133" s="225">
        <v>73.621542682292102</v>
      </c>
      <c r="H133" s="225">
        <v>71.343478326680057</v>
      </c>
      <c r="I133" s="225">
        <v>67.92638179326201</v>
      </c>
      <c r="J133" s="225">
        <v>62.231220904231918</v>
      </c>
    </row>
    <row r="134" spans="4:10" x14ac:dyDescent="0.2">
      <c r="E134" s="127">
        <f>Inputs!$K$18</f>
        <v>0.4</v>
      </c>
      <c r="F134" s="225">
        <v>88.217803443576031</v>
      </c>
      <c r="G134" s="225">
        <v>85.228903801592509</v>
      </c>
      <c r="H134" s="225">
        <v>82.237886931210411</v>
      </c>
      <c r="I134" s="225">
        <v>77.747900901631098</v>
      </c>
      <c r="J134" s="225">
        <v>70.26459085233229</v>
      </c>
    </row>
    <row r="135" spans="4:10" x14ac:dyDescent="0.2">
      <c r="E135" s="127">
        <v>0.47499999999999998</v>
      </c>
      <c r="F135" s="225">
        <v>97.494521246594402</v>
      </c>
      <c r="G135" s="225">
        <v>93.96687073783113</v>
      </c>
      <c r="H135" s="225">
        <v>90.439220229067843</v>
      </c>
      <c r="I135" s="225">
        <v>85.147744465922983</v>
      </c>
      <c r="J135" s="225">
        <v>76.318051472382805</v>
      </c>
    </row>
    <row r="136" spans="4:10" x14ac:dyDescent="0.2">
      <c r="E136" s="127">
        <v>0.55000000000000004</v>
      </c>
      <c r="F136" s="225">
        <v>106.80590459775698</v>
      </c>
      <c r="G136" s="225">
        <v>102.73737272772813</v>
      </c>
      <c r="H136" s="225">
        <v>98.668840857699337</v>
      </c>
      <c r="I136" s="225">
        <v>92.56604305265607</v>
      </c>
      <c r="J136" s="225">
        <v>82.393425099986246</v>
      </c>
    </row>
    <row r="137" spans="4:10" x14ac:dyDescent="0.2">
      <c r="D137" s="7" t="s">
        <v>1999</v>
      </c>
    </row>
    <row r="139" spans="4:10" x14ac:dyDescent="0.2">
      <c r="D139" s="11" t="s">
        <v>2114</v>
      </c>
    </row>
    <row r="140" spans="4:10" x14ac:dyDescent="0.2">
      <c r="E140" s="225">
        <f>Model!$F$100</f>
        <v>82.237886931210411</v>
      </c>
      <c r="F140" s="142">
        <v>0.3</v>
      </c>
      <c r="G140" s="142">
        <v>0.35</v>
      </c>
      <c r="H140" s="142">
        <v>0.4</v>
      </c>
      <c r="I140" s="142">
        <v>0.45</v>
      </c>
      <c r="J140" s="142">
        <v>0.5</v>
      </c>
    </row>
    <row r="141" spans="4:10" x14ac:dyDescent="0.2">
      <c r="E141" s="143">
        <v>2027.5</v>
      </c>
      <c r="F141" s="225">
        <f t="dataTable" ref="F141:J145" dt2D="1" dtr="1" r1="E118" r2="E119" ca="1"/>
        <v>83.589642336617175</v>
      </c>
      <c r="G141" s="225">
        <v>89.680753861963751</v>
      </c>
      <c r="H141" s="225">
        <v>96.718182969449529</v>
      </c>
      <c r="I141" s="225">
        <v>104.94777523415782</v>
      </c>
      <c r="J141" s="225">
        <v>114.7101332178726</v>
      </c>
    </row>
    <row r="142" spans="4:10" x14ac:dyDescent="0.2">
      <c r="E142" s="143">
        <v>2028</v>
      </c>
      <c r="F142" s="225">
        <v>78.166585836954127</v>
      </c>
      <c r="G142" s="225">
        <v>83.800679434343678</v>
      </c>
      <c r="H142" s="225">
        <v>90.296717630307754</v>
      </c>
      <c r="I142" s="225">
        <v>97.816866616995938</v>
      </c>
      <c r="J142" s="225">
        <v>106.73266081989416</v>
      </c>
    </row>
    <row r="143" spans="4:10" x14ac:dyDescent="0.2">
      <c r="E143" s="143">
        <f>Inputs!$G$16</f>
        <v>2029.17</v>
      </c>
      <c r="F143" s="225">
        <v>71.120495664228116</v>
      </c>
      <c r="G143" s="225">
        <v>76.269288488959987</v>
      </c>
      <c r="H143" s="225">
        <v>82.237886931210411</v>
      </c>
      <c r="I143" s="225">
        <v>89.245169321930049</v>
      </c>
      <c r="J143" s="225">
        <v>97.621967123023865</v>
      </c>
    </row>
    <row r="144" spans="4:10" x14ac:dyDescent="0.2">
      <c r="E144" s="143">
        <v>2029.5</v>
      </c>
      <c r="F144" s="225">
        <v>69.883339560365044</v>
      </c>
      <c r="G144" s="225">
        <v>75.082566101867641</v>
      </c>
      <c r="H144" s="225">
        <v>81.0804391113751</v>
      </c>
      <c r="I144" s="225">
        <v>88.089887719479862</v>
      </c>
      <c r="J144" s="225">
        <v>96.503795479055114</v>
      </c>
    </row>
    <row r="145" spans="4:11" x14ac:dyDescent="0.2">
      <c r="E145" s="143">
        <v>2031</v>
      </c>
      <c r="F145" s="225">
        <v>67.001954043851626</v>
      </c>
      <c r="G145" s="225">
        <v>72.492947304055249</v>
      </c>
      <c r="H145" s="225">
        <v>78.890495025336818</v>
      </c>
      <c r="I145" s="225">
        <v>86.517203966549843</v>
      </c>
      <c r="J145" s="225">
        <v>95.86113571064169</v>
      </c>
    </row>
    <row r="146" spans="4:11" x14ac:dyDescent="0.2">
      <c r="D146" s="7" t="s">
        <v>1394</v>
      </c>
    </row>
    <row r="148" spans="4:11" x14ac:dyDescent="0.2">
      <c r="D148" s="11" t="s">
        <v>2000</v>
      </c>
    </row>
    <row r="149" spans="4:11" x14ac:dyDescent="0.2">
      <c r="E149" s="10" t="s">
        <v>3</v>
      </c>
      <c r="F149" s="11" t="s">
        <v>1136</v>
      </c>
      <c r="G149" s="11" t="s">
        <v>2</v>
      </c>
      <c r="H149" s="11" t="s">
        <v>1537</v>
      </c>
      <c r="I149" s="11" t="s">
        <v>1137</v>
      </c>
      <c r="J149" s="11" t="s">
        <v>1138</v>
      </c>
    </row>
    <row r="150" spans="4:11" x14ac:dyDescent="0.2">
      <c r="D150" s="10" t="s">
        <v>680</v>
      </c>
      <c r="F150" s="10">
        <v>1</v>
      </c>
      <c r="G150" s="10">
        <v>2</v>
      </c>
      <c r="H150" s="10">
        <v>3</v>
      </c>
      <c r="I150" s="10">
        <v>4</v>
      </c>
      <c r="J150" s="10">
        <v>5</v>
      </c>
      <c r="K150" s="10">
        <v>6</v>
      </c>
    </row>
    <row r="151" spans="4:11" x14ac:dyDescent="0.2">
      <c r="D151" s="10" t="s">
        <v>4</v>
      </c>
      <c r="E151" s="226">
        <f>Model!$F$99</f>
        <v>1415.584379662298</v>
      </c>
      <c r="F151" s="226">
        <f t="dataTable" ref="F151:K174" dt2D="0" dtr="1" r1="E7" ca="1"/>
        <v>239.4783052865229</v>
      </c>
      <c r="G151" s="226">
        <v>1415.584379662298</v>
      </c>
      <c r="H151" s="226">
        <v>3180.0442124764832</v>
      </c>
      <c r="I151" s="226">
        <v>281.79313384175123</v>
      </c>
      <c r="J151" s="226">
        <v>585.12442551090192</v>
      </c>
      <c r="K151" s="226">
        <v>2143.5382702193083</v>
      </c>
    </row>
    <row r="152" spans="4:11" x14ac:dyDescent="0.2">
      <c r="D152" s="10" t="s">
        <v>5</v>
      </c>
      <c r="E152" s="225">
        <f>Model!$F$100</f>
        <v>82.237886931210411</v>
      </c>
      <c r="F152" s="225">
        <v>14.190657849216866</v>
      </c>
      <c r="G152" s="225">
        <v>82.237886931210411</v>
      </c>
      <c r="H152" s="225">
        <v>181.12115013857618</v>
      </c>
      <c r="I152" s="225">
        <v>16.698088546361145</v>
      </c>
      <c r="J152" s="225">
        <v>34.672453989977669</v>
      </c>
      <c r="K152" s="225">
        <v>122.08638966243501</v>
      </c>
    </row>
    <row r="153" spans="4:11" x14ac:dyDescent="0.2">
      <c r="D153" s="10" t="s">
        <v>911</v>
      </c>
      <c r="E153" s="226">
        <f>Model!$H$35</f>
        <v>127.82748148511058</v>
      </c>
      <c r="F153" s="226">
        <v>104.14710969778609</v>
      </c>
      <c r="G153" s="226">
        <v>127.82748148511058</v>
      </c>
      <c r="H153" s="226">
        <v>145.64737049929082</v>
      </c>
      <c r="I153" s="226">
        <v>105.51684597136254</v>
      </c>
      <c r="J153" s="226">
        <v>120.16281319089376</v>
      </c>
      <c r="K153" s="226">
        <v>141.6092246284268</v>
      </c>
    </row>
    <row r="154" spans="4:11" x14ac:dyDescent="0.2">
      <c r="D154" s="10" t="s">
        <v>1128</v>
      </c>
      <c r="E154" s="226">
        <f>Model!$I$35</f>
        <v>194.85302775523087</v>
      </c>
      <c r="F154" s="226">
        <v>116.65676543060052</v>
      </c>
      <c r="G154" s="226">
        <v>194.85302775523087</v>
      </c>
      <c r="H154" s="226">
        <v>255.38216975704853</v>
      </c>
      <c r="I154" s="226">
        <v>128.25331228687463</v>
      </c>
      <c r="J154" s="226">
        <v>167.12170924386479</v>
      </c>
      <c r="K154" s="226">
        <v>238.66413534588577</v>
      </c>
    </row>
    <row r="155" spans="4:11" x14ac:dyDescent="0.2">
      <c r="D155" s="10" t="s">
        <v>1122</v>
      </c>
      <c r="E155" s="226">
        <f>Model!$L$35</f>
        <v>410.53137216965064</v>
      </c>
      <c r="F155" s="226">
        <v>135.75781823223124</v>
      </c>
      <c r="G155" s="226">
        <v>410.53137216965064</v>
      </c>
      <c r="H155" s="226">
        <v>671.5892788677852</v>
      </c>
      <c r="I155" s="226">
        <v>182.68760258367234</v>
      </c>
      <c r="J155" s="226">
        <v>279.30816664585382</v>
      </c>
      <c r="K155" s="226">
        <v>575.64313614196635</v>
      </c>
    </row>
    <row r="156" spans="4:11" x14ac:dyDescent="0.2">
      <c r="D156" s="10" t="s">
        <v>1319</v>
      </c>
      <c r="E156" s="226">
        <f>Model!$Q$35</f>
        <v>737.80325502079654</v>
      </c>
      <c r="F156" s="226">
        <v>165.51114894402144</v>
      </c>
      <c r="G156" s="226">
        <v>737.80325502079654</v>
      </c>
      <c r="H156" s="226">
        <v>1400.0237233271691</v>
      </c>
      <c r="I156" s="226">
        <v>247.27395704942376</v>
      </c>
      <c r="J156" s="226">
        <v>391.99343047620715</v>
      </c>
      <c r="K156" s="226">
        <v>1116.3944918890231</v>
      </c>
    </row>
    <row r="157" spans="4:11" x14ac:dyDescent="0.2">
      <c r="D157" s="10" t="s">
        <v>1320</v>
      </c>
      <c r="E157" s="175">
        <f>'Revenue Engine'!$P$50</f>
        <v>735.11907759088444</v>
      </c>
      <c r="F157" s="175">
        <v>200.29224091155723</v>
      </c>
      <c r="G157" s="175">
        <v>735.11907759088444</v>
      </c>
      <c r="H157" s="175">
        <v>1010.7652740097667</v>
      </c>
      <c r="I157" s="175">
        <v>367.59355398806292</v>
      </c>
      <c r="J157" s="175">
        <v>735.11907759088444</v>
      </c>
      <c r="K157" s="175">
        <v>1010.7652740097667</v>
      </c>
    </row>
    <row r="158" spans="4:11" x14ac:dyDescent="0.2">
      <c r="D158" s="10" t="s">
        <v>1321</v>
      </c>
      <c r="E158" s="175">
        <f>'Revenue Engine'!$P$62</f>
        <v>1615.1140422929298</v>
      </c>
      <c r="F158" s="175">
        <v>406.20710812904491</v>
      </c>
      <c r="G158" s="175">
        <v>1615.1140422929298</v>
      </c>
      <c r="H158" s="175">
        <v>2422.6148397843453</v>
      </c>
      <c r="I158" s="175">
        <v>807.63175518198068</v>
      </c>
      <c r="J158" s="175">
        <v>1615.1140422929298</v>
      </c>
      <c r="K158" s="175">
        <v>2422.6148397843453</v>
      </c>
    </row>
    <row r="159" spans="4:11" x14ac:dyDescent="0.2">
      <c r="D159" s="10" t="s">
        <v>1322</v>
      </c>
      <c r="E159" s="177">
        <f>'Revenue Engine'!$P$64</f>
        <v>5.9994689892712387E-2</v>
      </c>
      <c r="F159" s="177">
        <v>1.5088884652268755E-2</v>
      </c>
      <c r="G159" s="177">
        <v>5.9994689892712387E-2</v>
      </c>
      <c r="H159" s="177">
        <v>8.9989946366885815E-2</v>
      </c>
      <c r="I159" s="177">
        <v>3.0000121001277264E-2</v>
      </c>
      <c r="J159" s="177">
        <v>5.9994689892712387E-2</v>
      </c>
      <c r="K159" s="177">
        <v>8.9989946366885815E-2</v>
      </c>
    </row>
    <row r="160" spans="4:11" x14ac:dyDescent="0.2">
      <c r="D160" s="10" t="s">
        <v>1323</v>
      </c>
      <c r="E160" s="177">
        <f>'Revenue Engine'!$P$79</f>
        <v>0.43666882645446181</v>
      </c>
      <c r="F160" s="177">
        <v>0.38948841979679177</v>
      </c>
      <c r="G160" s="177">
        <v>0.43666882645446181</v>
      </c>
      <c r="H160" s="177">
        <v>0.55241547585074924</v>
      </c>
      <c r="I160" s="177">
        <v>0.29267107806736226</v>
      </c>
      <c r="J160" s="177">
        <v>0.23200129587267709</v>
      </c>
      <c r="K160" s="177">
        <v>0.44050224592509374</v>
      </c>
    </row>
    <row r="161" spans="4:11" x14ac:dyDescent="0.2">
      <c r="D161" s="10" t="s">
        <v>1324</v>
      </c>
      <c r="E161" s="177">
        <f>Model!$Q$59</f>
        <v>0.25783147702839776</v>
      </c>
      <c r="F161" s="177">
        <v>0.29894346108198233</v>
      </c>
      <c r="G161" s="177">
        <v>0.25783147702839776</v>
      </c>
      <c r="H161" s="177">
        <v>0.31091118665162942</v>
      </c>
      <c r="I161" s="177">
        <v>0.19755546544338135</v>
      </c>
      <c r="J161" s="177">
        <v>0.1916887017636858</v>
      </c>
      <c r="K161" s="177">
        <v>0.25680388673266397</v>
      </c>
    </row>
    <row r="162" spans="4:11" x14ac:dyDescent="0.2">
      <c r="D162" s="10" t="s">
        <v>1325</v>
      </c>
      <c r="E162" s="177">
        <f>'Revenue Engine'!$P$85</f>
        <v>0.23755710324359222</v>
      </c>
      <c r="F162" s="177">
        <v>0.25623960987433092</v>
      </c>
      <c r="G162" s="177">
        <v>0.23755710324359222</v>
      </c>
      <c r="H162" s="177">
        <v>0.18792568068983329</v>
      </c>
      <c r="I162" s="177">
        <v>0.36656172649245145</v>
      </c>
      <c r="J162" s="177">
        <v>0.26482761509807012</v>
      </c>
      <c r="K162" s="177">
        <v>0.23729553480467808</v>
      </c>
    </row>
    <row r="163" spans="4:11" x14ac:dyDescent="0.2">
      <c r="D163" s="10" t="s">
        <v>1326</v>
      </c>
      <c r="E163" s="177">
        <f>'Revenue Engine'!$P$87</f>
        <v>0.2</v>
      </c>
      <c r="F163" s="177">
        <v>0.10999999999999999</v>
      </c>
      <c r="G163" s="177">
        <v>0.2</v>
      </c>
      <c r="H163" s="177">
        <v>0.2</v>
      </c>
      <c r="I163" s="177">
        <v>8.0000000000000016E-2</v>
      </c>
      <c r="J163" s="177">
        <v>0.18</v>
      </c>
      <c r="K163" s="177">
        <v>0.2</v>
      </c>
    </row>
    <row r="164" spans="4:11" x14ac:dyDescent="0.2">
      <c r="D164" s="10" t="s">
        <v>1327</v>
      </c>
      <c r="E164" s="226">
        <f>Model!$H$58</f>
        <v>10.038359034120813</v>
      </c>
      <c r="F164" s="226">
        <v>-9.0637402063375632</v>
      </c>
      <c r="G164" s="226">
        <v>10.038359034120813</v>
      </c>
      <c r="H164" s="226">
        <v>24.631815394128775</v>
      </c>
      <c r="I164" s="226">
        <v>-8.7385649101155369</v>
      </c>
      <c r="J164" s="226">
        <v>2.8690504448229865</v>
      </c>
      <c r="K164" s="226">
        <v>21.184053192409024</v>
      </c>
    </row>
    <row r="165" spans="4:11" x14ac:dyDescent="0.2">
      <c r="D165" s="10" t="s">
        <v>1053</v>
      </c>
      <c r="E165" s="226">
        <f>Model!$H$124</f>
        <v>115.73377546911829</v>
      </c>
      <c r="F165" s="226">
        <v>114.99714272737458</v>
      </c>
      <c r="G165" s="226">
        <v>115.73377546911829</v>
      </c>
      <c r="H165" s="226">
        <v>115.92354863742321</v>
      </c>
      <c r="I165" s="226">
        <v>116.0757321883595</v>
      </c>
      <c r="J165" s="226">
        <v>116.67812294543921</v>
      </c>
      <c r="K165" s="226">
        <v>116.02379632918382</v>
      </c>
    </row>
    <row r="166" spans="4:11" x14ac:dyDescent="0.2">
      <c r="D166" s="10" t="s">
        <v>16</v>
      </c>
      <c r="E166" s="227">
        <f>Model!$F$105</f>
        <v>2</v>
      </c>
      <c r="F166" s="227">
        <v>6</v>
      </c>
      <c r="G166" s="227">
        <v>2</v>
      </c>
      <c r="H166" s="227">
        <v>2</v>
      </c>
      <c r="I166" s="227">
        <v>5</v>
      </c>
      <c r="J166" s="227">
        <v>4</v>
      </c>
      <c r="K166" s="227">
        <v>2</v>
      </c>
    </row>
    <row r="167" spans="4:11" x14ac:dyDescent="0.2">
      <c r="D167" s="10" t="s">
        <v>1328</v>
      </c>
      <c r="E167" s="226">
        <f>Model!$F$106</f>
        <v>133.3394383798726</v>
      </c>
      <c r="F167" s="226">
        <v>-7.6280836342797187</v>
      </c>
      <c r="G167" s="226">
        <v>133.3394383798726</v>
      </c>
      <c r="H167" s="226">
        <v>133.3394383798726</v>
      </c>
      <c r="I167" s="226">
        <v>73.632964445744818</v>
      </c>
      <c r="J167" s="226">
        <v>133.3394383798726</v>
      </c>
      <c r="K167" s="226">
        <v>133.3394383798726</v>
      </c>
    </row>
    <row r="168" spans="4:11" x14ac:dyDescent="0.2">
      <c r="D168" s="10" t="s">
        <v>1329</v>
      </c>
      <c r="E168" s="226">
        <f>Model!$F$95</f>
        <v>0</v>
      </c>
      <c r="F168" s="226">
        <v>0</v>
      </c>
      <c r="G168" s="226">
        <v>0</v>
      </c>
      <c r="H168" s="226">
        <v>0</v>
      </c>
      <c r="I168" s="226">
        <v>0</v>
      </c>
      <c r="J168" s="226">
        <v>0</v>
      </c>
      <c r="K168" s="226">
        <v>0</v>
      </c>
    </row>
    <row r="169" spans="4:11" x14ac:dyDescent="0.2">
      <c r="D169" s="10" t="s">
        <v>1330</v>
      </c>
      <c r="E169" s="177">
        <f>'Revenue Engine'!$P$75/'Revenue Engine'!$P$71</f>
        <v>3.8161567582522378E-2</v>
      </c>
      <c r="F169" s="177">
        <v>0.19420211592805181</v>
      </c>
      <c r="G169" s="177">
        <v>3.8161567582522378E-2</v>
      </c>
      <c r="H169" s="177">
        <v>2.5789703104205787E-2</v>
      </c>
      <c r="I169" s="177">
        <v>8.1982449598954427E-2</v>
      </c>
      <c r="J169" s="177">
        <v>3.4476980385974201E-2</v>
      </c>
      <c r="K169" s="177">
        <v>2.6951491629061197E-2</v>
      </c>
    </row>
    <row r="170" spans="4:11" x14ac:dyDescent="0.2">
      <c r="D170" s="10" t="s">
        <v>1331</v>
      </c>
      <c r="E170" s="177">
        <f>(Model!$Q$35/Model!$H$37)^(1/10)-1</f>
        <v>0.29540964731291175</v>
      </c>
      <c r="F170" s="177">
        <v>0.11556735178798694</v>
      </c>
      <c r="G170" s="177">
        <v>0.29540964731291175</v>
      </c>
      <c r="H170" s="177">
        <v>0.38110472112455596</v>
      </c>
      <c r="I170" s="177">
        <v>0.16126385407929256</v>
      </c>
      <c r="J170" s="177">
        <v>0.2160206477684905</v>
      </c>
      <c r="K170" s="177">
        <v>0.35018984999658453</v>
      </c>
    </row>
    <row r="171" spans="4:11" x14ac:dyDescent="0.2">
      <c r="D171" s="10" t="s">
        <v>1396</v>
      </c>
      <c r="E171" s="175">
        <f>'Revenue Engine'!$P$51</f>
        <v>189.17505637588582</v>
      </c>
      <c r="F171" s="175">
        <v>41.630943232074237</v>
      </c>
      <c r="G171" s="175">
        <v>189.17505637588582</v>
      </c>
      <c r="H171" s="175">
        <v>319.2254991003341</v>
      </c>
      <c r="I171" s="175">
        <v>94.596281635075215</v>
      </c>
      <c r="J171" s="175">
        <v>189.17505637588582</v>
      </c>
      <c r="K171" s="175">
        <v>319.2254991003341</v>
      </c>
    </row>
    <row r="172" spans="4:11" ht="25.5" x14ac:dyDescent="0.2">
      <c r="D172" s="45" t="s">
        <v>1397</v>
      </c>
      <c r="E172" s="177">
        <f>'Revenue Engine'!$P$52</f>
        <v>0.25733933745243837</v>
      </c>
      <c r="F172" s="177">
        <v>0.2078510033269694</v>
      </c>
      <c r="G172" s="177">
        <v>0.25733933745243837</v>
      </c>
      <c r="H172" s="177">
        <v>0.31582555050981059</v>
      </c>
      <c r="I172" s="177">
        <v>0.25733933745243825</v>
      </c>
      <c r="J172" s="177">
        <v>0.25733933745243837</v>
      </c>
      <c r="K172" s="177">
        <v>0.31582555050981059</v>
      </c>
    </row>
    <row r="173" spans="4:11" x14ac:dyDescent="0.2">
      <c r="D173" s="10" t="s">
        <v>1398</v>
      </c>
      <c r="E173" s="177">
        <f>'Revenue Engine'!$P$53</f>
        <v>0.42645689188376157</v>
      </c>
      <c r="F173" s="177">
        <v>0.37866163287407495</v>
      </c>
      <c r="G173" s="177">
        <v>0.42645689188376157</v>
      </c>
      <c r="H173" s="177">
        <v>0.47425215089344797</v>
      </c>
      <c r="I173" s="177">
        <v>0.42645689188376146</v>
      </c>
      <c r="J173" s="177">
        <v>0.42645689188376151</v>
      </c>
      <c r="K173" s="177">
        <v>0.47425215089344802</v>
      </c>
    </row>
    <row r="174" spans="4:11" x14ac:dyDescent="0.2">
      <c r="D174" s="10" t="s">
        <v>2001</v>
      </c>
      <c r="E174" s="177">
        <f>Model!$Q$49</f>
        <v>0.12461141972800993</v>
      </c>
      <c r="F174" s="177">
        <v>0.11875372492935327</v>
      </c>
      <c r="G174" s="177">
        <v>0.12461141972800993</v>
      </c>
      <c r="H174" s="177">
        <v>0.12116313265853738</v>
      </c>
      <c r="I174" s="177">
        <v>0.16088280806416727</v>
      </c>
      <c r="J174" s="177">
        <v>0.16848368313824413</v>
      </c>
      <c r="K174" s="177">
        <v>0.12590057846265795</v>
      </c>
    </row>
    <row r="176" spans="4:11" x14ac:dyDescent="0.2">
      <c r="D176" s="11" t="s">
        <v>2031</v>
      </c>
    </row>
    <row r="177" spans="4:6" x14ac:dyDescent="0.2">
      <c r="D177" s="10" t="s">
        <v>687</v>
      </c>
      <c r="F177" s="237">
        <f>$L$51</f>
        <v>7</v>
      </c>
    </row>
    <row r="178" spans="4:6" x14ac:dyDescent="0.2">
      <c r="D178" s="10" t="s">
        <v>4</v>
      </c>
      <c r="E178" s="226">
        <f>Model!$F$99</f>
        <v>1415.584379662298</v>
      </c>
      <c r="F178" s="226">
        <f t="dataTable" ref="F178:F195" dt2D="0" dtr="1" r1="E8" ca="1"/>
        <v>1500.0010128120653</v>
      </c>
    </row>
    <row r="179" spans="4:6" x14ac:dyDescent="0.2">
      <c r="D179" s="10" t="s">
        <v>5</v>
      </c>
      <c r="E179" s="225">
        <f>Model!$F$100</f>
        <v>82.237886931210411</v>
      </c>
      <c r="F179" s="225">
        <v>87.142042156305621</v>
      </c>
    </row>
    <row r="180" spans="4:6" x14ac:dyDescent="0.2">
      <c r="D180" s="10" t="s">
        <v>911</v>
      </c>
      <c r="E180" s="226">
        <f>Model!$H$35</f>
        <v>127.82748148511058</v>
      </c>
      <c r="F180" s="226">
        <v>127.82748148511058</v>
      </c>
    </row>
    <row r="181" spans="4:6" x14ac:dyDescent="0.2">
      <c r="D181" s="10" t="s">
        <v>1128</v>
      </c>
      <c r="E181" s="226">
        <f>Model!$I$35</f>
        <v>194.85302775523087</v>
      </c>
      <c r="F181" s="226">
        <v>194.85302775523087</v>
      </c>
    </row>
    <row r="182" spans="4:6" x14ac:dyDescent="0.2">
      <c r="D182" s="10" t="s">
        <v>1431</v>
      </c>
      <c r="E182" s="226">
        <f>Model!$J$35</f>
        <v>266.16307794901098</v>
      </c>
      <c r="F182" s="226">
        <v>267.65278609954839</v>
      </c>
    </row>
    <row r="183" spans="4:6" x14ac:dyDescent="0.2">
      <c r="D183" s="10" t="s">
        <v>1432</v>
      </c>
      <c r="E183" s="226">
        <f>Model!$K$35</f>
        <v>338.68595742743315</v>
      </c>
      <c r="F183" s="226">
        <v>344.21453561067455</v>
      </c>
    </row>
    <row r="184" spans="4:6" x14ac:dyDescent="0.2">
      <c r="D184" s="10" t="s">
        <v>1122</v>
      </c>
      <c r="E184" s="226">
        <f>Model!$L$35</f>
        <v>410.53137216965064</v>
      </c>
      <c r="F184" s="226">
        <v>422.58406350201489</v>
      </c>
    </row>
    <row r="185" spans="4:6" x14ac:dyDescent="0.2">
      <c r="D185" s="10" t="s">
        <v>1319</v>
      </c>
      <c r="E185" s="226">
        <f>Model!$Q$35</f>
        <v>737.80325502079654</v>
      </c>
      <c r="F185" s="226">
        <v>792.93115733263994</v>
      </c>
    </row>
    <row r="186" spans="4:6" x14ac:dyDescent="0.2">
      <c r="D186" s="10" t="s">
        <v>1433</v>
      </c>
      <c r="E186" s="177">
        <f>Model!$J$36</f>
        <v>0.36596839687478644</v>
      </c>
      <c r="F186" s="177">
        <v>0.3736136881371257</v>
      </c>
    </row>
    <row r="187" spans="4:6" x14ac:dyDescent="0.2">
      <c r="D187" s="10" t="s">
        <v>1434</v>
      </c>
      <c r="E187" s="177">
        <f>Model!$K$36</f>
        <v>0.27247535622621344</v>
      </c>
      <c r="F187" s="177">
        <v>0.28604876723625972</v>
      </c>
    </row>
    <row r="188" spans="4:6" x14ac:dyDescent="0.2">
      <c r="D188" s="10" t="s">
        <v>1435</v>
      </c>
      <c r="E188" s="177">
        <f>Model!$L$36</f>
        <v>0.21212988955295287</v>
      </c>
      <c r="F188" s="177">
        <v>0.22767640463614991</v>
      </c>
    </row>
    <row r="189" spans="4:6" x14ac:dyDescent="0.2">
      <c r="D189" s="10" t="s">
        <v>1436</v>
      </c>
      <c r="E189" s="177">
        <f>Model!$M$36</f>
        <v>0.17073810376943488</v>
      </c>
      <c r="F189" s="177">
        <v>0.18611067343573895</v>
      </c>
    </row>
    <row r="190" spans="4:6" x14ac:dyDescent="0.2">
      <c r="D190" s="10" t="s">
        <v>1437</v>
      </c>
      <c r="E190" s="177">
        <f>(Model!$L$35/Model!$I$35)^(1/3)-1</f>
        <v>0.28197551582714153</v>
      </c>
      <c r="F190" s="177">
        <v>0.29440044067486815</v>
      </c>
    </row>
    <row r="191" spans="4:6" x14ac:dyDescent="0.2">
      <c r="D191" s="10" t="s">
        <v>1438</v>
      </c>
      <c r="E191" s="177">
        <f>'Revenue Engine'!$P$40</f>
        <v>0.19209999999999999</v>
      </c>
      <c r="F191" s="177">
        <v>0.20702300000000001</v>
      </c>
    </row>
    <row r="192" spans="4:6" x14ac:dyDescent="0.2">
      <c r="D192" s="10" t="s">
        <v>1439</v>
      </c>
      <c r="E192" s="175">
        <f>'Revenue Engine'!$P$50</f>
        <v>735.11907759088444</v>
      </c>
      <c r="F192" s="175">
        <v>788.41920770482909</v>
      </c>
    </row>
    <row r="193" spans="4:15" x14ac:dyDescent="0.2">
      <c r="D193" s="10" t="s">
        <v>1440</v>
      </c>
      <c r="E193" s="177">
        <f>'Revenue Engine'!$P$64</f>
        <v>5.9994689892712387E-2</v>
      </c>
      <c r="F193" s="177">
        <v>6.4344631112993114E-2</v>
      </c>
    </row>
    <row r="194" spans="4:15" x14ac:dyDescent="0.2">
      <c r="D194" s="10" t="s">
        <v>1441</v>
      </c>
      <c r="E194" s="177">
        <f>Model!$Q$59</f>
        <v>0.25783147702839776</v>
      </c>
      <c r="F194" s="177">
        <v>0.25758827139558721</v>
      </c>
    </row>
    <row r="195" spans="4:15" x14ac:dyDescent="0.2">
      <c r="D195" s="10" t="s">
        <v>1442</v>
      </c>
      <c r="E195" s="177">
        <f>Model!$Q$49</f>
        <v>0.12461141972800993</v>
      </c>
      <c r="F195" s="177">
        <v>0.1249165322491723</v>
      </c>
    </row>
    <row r="197" spans="4:15" x14ac:dyDescent="0.2">
      <c r="D197" s="11" t="s">
        <v>2032</v>
      </c>
    </row>
    <row r="198" spans="4:15" x14ac:dyDescent="0.2">
      <c r="D198" s="10" t="s">
        <v>1443</v>
      </c>
      <c r="F198" s="177">
        <f>0.4*(1+Inputs!$K$113)-Inputs!$K$113</f>
        <v>0.37232268175552774</v>
      </c>
      <c r="G198" s="177">
        <v>0.4</v>
      </c>
    </row>
    <row r="199" spans="4:15" x14ac:dyDescent="0.2">
      <c r="D199" s="10" t="s">
        <v>5</v>
      </c>
      <c r="E199" s="225">
        <f>Model!$F$100</f>
        <v>82.237886931210411</v>
      </c>
      <c r="F199" s="225">
        <f t="dataTable" ref="F199:G203" dt2D="0" dtr="1" r1="E118" ca="1"/>
        <v>78.820303220391125</v>
      </c>
      <c r="G199" s="225">
        <v>82.237886931210411</v>
      </c>
    </row>
    <row r="200" spans="4:15" x14ac:dyDescent="0.2">
      <c r="D200" s="10" t="s">
        <v>4</v>
      </c>
      <c r="E200" s="226">
        <f>Model!$F$99</f>
        <v>1415.584379662298</v>
      </c>
      <c r="F200" s="226">
        <v>1356.7565291696069</v>
      </c>
      <c r="G200" s="226">
        <v>1415.584379662298</v>
      </c>
    </row>
    <row r="201" spans="4:15" x14ac:dyDescent="0.2">
      <c r="D201" s="10" t="s">
        <v>1128</v>
      </c>
      <c r="E201" s="226">
        <f>Model!$I$35</f>
        <v>194.85302775523087</v>
      </c>
      <c r="F201" s="226">
        <v>192.36811232387487</v>
      </c>
      <c r="G201" s="226">
        <v>194.85302775523087</v>
      </c>
    </row>
    <row r="202" spans="4:15" x14ac:dyDescent="0.2">
      <c r="D202" s="10" t="s">
        <v>1319</v>
      </c>
      <c r="E202" s="226">
        <f>Model!$Q$35</f>
        <v>737.80325502079654</v>
      </c>
      <c r="F202" s="226">
        <v>705.26995343817566</v>
      </c>
      <c r="G202" s="226">
        <v>737.80325502079654</v>
      </c>
    </row>
    <row r="203" spans="4:15" x14ac:dyDescent="0.2">
      <c r="D203" s="10" t="s">
        <v>1444</v>
      </c>
      <c r="E203" s="177">
        <f>'Revenue Engine'!$P$53</f>
        <v>0.42645689188376157</v>
      </c>
      <c r="F203" s="177">
        <v>0.4</v>
      </c>
      <c r="G203" s="177">
        <v>0.42645689188376157</v>
      </c>
    </row>
    <row r="205" spans="4:15" ht="51" x14ac:dyDescent="0.2">
      <c r="D205" s="252" t="s">
        <v>2033</v>
      </c>
      <c r="N205" s="4"/>
      <c r="O205" s="4" t="s">
        <v>1824</v>
      </c>
    </row>
    <row r="206" spans="4:15" x14ac:dyDescent="0.2">
      <c r="D206" s="4" t="s">
        <v>1469</v>
      </c>
      <c r="E206" s="146">
        <f>Model!$F$100</f>
        <v>82.237886931210411</v>
      </c>
      <c r="F206" s="107">
        <v>1</v>
      </c>
      <c r="G206" s="107">
        <v>2</v>
      </c>
      <c r="H206" s="107">
        <v>3</v>
      </c>
      <c r="I206" s="107">
        <v>4</v>
      </c>
      <c r="J206" s="107">
        <v>5</v>
      </c>
      <c r="K206" s="4" t="s">
        <v>1470</v>
      </c>
      <c r="L206" s="4" t="s">
        <v>1471</v>
      </c>
      <c r="N206" s="4">
        <f>Model!$F$100</f>
        <v>82.237886931210411</v>
      </c>
      <c r="O206" s="4">
        <v>6</v>
      </c>
    </row>
    <row r="207" spans="4:15" ht="25.5" x14ac:dyDescent="0.2">
      <c r="D207" s="36" t="s">
        <v>1472</v>
      </c>
      <c r="E207" s="107">
        <v>8</v>
      </c>
      <c r="F207" s="146">
        <f t="dataTable" ref="F207:J209" dt2D="1" dtr="1" r1="E7" r2="E8" ca="1"/>
        <v>12.8853078008477</v>
      </c>
      <c r="G207" s="146">
        <v>73.924988709220031</v>
      </c>
      <c r="H207" s="146">
        <v>161.75591035738822</v>
      </c>
      <c r="I207" s="146">
        <v>15.258117163587864</v>
      </c>
      <c r="J207" s="146">
        <v>31.615222758520218</v>
      </c>
      <c r="K207" s="146">
        <f>SUMPRODUCT(F207:J207,Inputs!$F$28:$J$28)+Inputs!$L$53*$O207+Inputs!$L$54*($O207+(Moonshot!$I$101-Moonshot!$I$100))</f>
        <v>69.848903780632853</v>
      </c>
      <c r="L207" s="146">
        <f>K207-$K$210</f>
        <v>-7.5712660842364983</v>
      </c>
      <c r="N207" s="4">
        <v>8</v>
      </c>
      <c r="O207" s="146">
        <f t="dataTable" ref="O207:O209" dt2D="1" dtr="1" r1="E7" r2="E8" ca="1"/>
        <v>109.46286369361016</v>
      </c>
    </row>
    <row r="208" spans="4:15" x14ac:dyDescent="0.2">
      <c r="D208" s="4" t="s">
        <v>1473</v>
      </c>
      <c r="E208" s="107">
        <v>9</v>
      </c>
      <c r="F208" s="146">
        <v>8.9992281150116131</v>
      </c>
      <c r="G208" s="146">
        <v>77.01152696553774</v>
      </c>
      <c r="H208" s="146">
        <v>171.253214431321</v>
      </c>
      <c r="I208" s="146">
        <v>4.9850031556274539</v>
      </c>
      <c r="J208" s="146">
        <v>29.245792284757744</v>
      </c>
      <c r="K208" s="146">
        <f>SUMPRODUCT(F208:J208,Inputs!$F$28:$J$28)+Inputs!$L$53*$O208+Inputs!$L$54*($O208+(Moonshot!$I$101-Moonshot!$I$100))</f>
        <v>70.546818222133126</v>
      </c>
      <c r="L208" s="146">
        <f>K208-$K$210</f>
        <v>-6.8733516427362247</v>
      </c>
      <c r="N208" s="4">
        <v>9</v>
      </c>
      <c r="O208" s="146">
        <v>114.28427928727312</v>
      </c>
    </row>
    <row r="209" spans="4:15" ht="25.5" x14ac:dyDescent="0.2">
      <c r="D209" s="36" t="s">
        <v>1866</v>
      </c>
      <c r="E209" s="107">
        <v>10</v>
      </c>
      <c r="F209" s="146">
        <v>12.830628704706465</v>
      </c>
      <c r="G209" s="146">
        <v>75.606090174559398</v>
      </c>
      <c r="H209" s="146">
        <v>163.56533903715328</v>
      </c>
      <c r="I209" s="146">
        <v>15.458143530852686</v>
      </c>
      <c r="J209" s="146">
        <v>32.788125808871797</v>
      </c>
      <c r="K209" s="146">
        <f>SUMPRODUCT(F209:J209,Inputs!$F$28:$J$28)+Inputs!$L$53*$O209+Inputs!$L$54*($O209+(Moonshot!$I$101-Moonshot!$I$100))</f>
        <v>71.383923263916017</v>
      </c>
      <c r="L209" s="146">
        <f>K209-$K$210</f>
        <v>-6.0362466009533335</v>
      </c>
      <c r="N209" s="4">
        <v>10</v>
      </c>
      <c r="O209" s="146">
        <v>111.75320133856209</v>
      </c>
    </row>
    <row r="210" spans="4:15" x14ac:dyDescent="0.2">
      <c r="D210" s="4" t="s">
        <v>1474</v>
      </c>
      <c r="E210" s="4"/>
      <c r="F210" s="146">
        <f>F$18</f>
        <v>14.190657849216866</v>
      </c>
      <c r="G210" s="146">
        <f>G$18</f>
        <v>82.237886931210411</v>
      </c>
      <c r="H210" s="146">
        <f>H$18</f>
        <v>181.12115013857618</v>
      </c>
      <c r="I210" s="146">
        <f>I$18</f>
        <v>16.698088546361145</v>
      </c>
      <c r="J210" s="146">
        <f>J$18</f>
        <v>34.672453989977669</v>
      </c>
      <c r="K210" s="146">
        <f>SUMPRODUCT(F210:J210,Inputs!$F$28:$J$28)+Inputs!$L$53*$K$18+Inputs!$L$54*Moonshot!$I$101</f>
        <v>77.420169864869351</v>
      </c>
      <c r="L210" s="146"/>
    </row>
    <row r="212" spans="4:15" x14ac:dyDescent="0.2">
      <c r="D212" s="11" t="s">
        <v>2034</v>
      </c>
    </row>
    <row r="213" spans="4:15" x14ac:dyDescent="0.2">
      <c r="D213" s="4" t="s">
        <v>680</v>
      </c>
      <c r="E213" s="4"/>
      <c r="F213" s="4">
        <v>1</v>
      </c>
      <c r="G213" s="4">
        <v>2</v>
      </c>
      <c r="H213" s="4">
        <v>3</v>
      </c>
      <c r="I213" s="4">
        <v>4</v>
      </c>
      <c r="J213" s="4">
        <v>5</v>
      </c>
      <c r="K213" s="4">
        <v>6</v>
      </c>
    </row>
    <row r="214" spans="4:15" x14ac:dyDescent="0.2">
      <c r="D214" s="4" t="s">
        <v>1475</v>
      </c>
      <c r="E214" s="97">
        <f>DCF!$E$39</f>
        <v>857.30180956022298</v>
      </c>
      <c r="F214" s="97">
        <f t="dataTable" ref="F214:K222" dt2D="0" dtr="1" r1="E7" ca="1"/>
        <v>207.14470675583971</v>
      </c>
      <c r="G214" s="97">
        <v>857.30180956022298</v>
      </c>
      <c r="H214" s="97">
        <v>2042.1166139605937</v>
      </c>
      <c r="I214" s="97">
        <v>204.57851366228357</v>
      </c>
      <c r="J214" s="97">
        <v>314.38515416153251</v>
      </c>
      <c r="K214" s="97">
        <v>1312.0908737085899</v>
      </c>
    </row>
    <row r="215" spans="4:15" x14ac:dyDescent="0.2">
      <c r="D215" s="4" t="s">
        <v>1476</v>
      </c>
      <c r="E215" s="97">
        <f>Model!$F$89</f>
        <v>1275.5723630574107</v>
      </c>
      <c r="F215" s="97">
        <v>102.05763991882455</v>
      </c>
      <c r="G215" s="97">
        <v>1275.5723630574107</v>
      </c>
      <c r="H215" s="97">
        <v>3040.0321958715958</v>
      </c>
      <c r="I215" s="97">
        <v>141.78111723686399</v>
      </c>
      <c r="J215" s="97">
        <v>445.11240890601465</v>
      </c>
      <c r="K215" s="97">
        <v>2003.526253614421</v>
      </c>
    </row>
    <row r="216" spans="4:15" x14ac:dyDescent="0.2">
      <c r="D216" s="4" t="s">
        <v>6</v>
      </c>
      <c r="E216" s="102">
        <f>DCF!$E$47</f>
        <v>0.67209186588627723</v>
      </c>
      <c r="F216" s="102">
        <v>2.029683489845544</v>
      </c>
      <c r="G216" s="102">
        <v>0.67209186588627723</v>
      </c>
      <c r="H216" s="102">
        <v>0.67174177192393392</v>
      </c>
      <c r="I216" s="102">
        <v>1.4429179121258318</v>
      </c>
      <c r="J216" s="102">
        <v>0.7063050768101925</v>
      </c>
      <c r="K216" s="102">
        <v>0.65489078136188084</v>
      </c>
    </row>
    <row r="217" spans="4:15" x14ac:dyDescent="0.2">
      <c r="D217" s="4" t="s">
        <v>271</v>
      </c>
      <c r="E217" s="147">
        <f>DCF!$E$40</f>
        <v>11.363905192330774</v>
      </c>
      <c r="F217" s="147">
        <v>10.556693027001714</v>
      </c>
      <c r="G217" s="147">
        <v>11.363905192330774</v>
      </c>
      <c r="H217" s="147">
        <v>11.829847885327407</v>
      </c>
      <c r="I217" s="147">
        <v>10.559976602260118</v>
      </c>
      <c r="J217" s="147">
        <v>10.550112477928783</v>
      </c>
      <c r="K217" s="147">
        <v>11.540244282094536</v>
      </c>
    </row>
    <row r="218" spans="4:15" x14ac:dyDescent="0.2">
      <c r="D218" s="4" t="s">
        <v>1465</v>
      </c>
      <c r="E218" s="147">
        <f>DCF!$E$112</f>
        <v>14.75831843159841</v>
      </c>
      <c r="F218" s="147">
        <v>13.70999094415807</v>
      </c>
      <c r="G218" s="147">
        <v>14.75831843159841</v>
      </c>
      <c r="H218" s="147">
        <v>15.363438812113516</v>
      </c>
      <c r="I218" s="147">
        <v>13.714255327610543</v>
      </c>
      <c r="J218" s="147">
        <v>13.701444776530886</v>
      </c>
      <c r="K218" s="147">
        <v>14.987330236486411</v>
      </c>
    </row>
    <row r="219" spans="4:15" x14ac:dyDescent="0.2">
      <c r="D219" s="4" t="s">
        <v>1477</v>
      </c>
      <c r="E219" s="102">
        <f>Model!$Q$36</f>
        <v>9.0004088441669738E-2</v>
      </c>
      <c r="F219" s="102">
        <v>4.0185114576722469E-2</v>
      </c>
      <c r="G219" s="102">
        <v>9.0004088441669738E-2</v>
      </c>
      <c r="H219" s="102">
        <v>0.11063756746812592</v>
      </c>
      <c r="I219" s="102">
        <v>5.0205199552173951E-2</v>
      </c>
      <c r="J219" s="102">
        <v>5.0541882842702668E-2</v>
      </c>
      <c r="K219" s="102">
        <v>0.10001827444001421</v>
      </c>
    </row>
    <row r="220" spans="4:15" x14ac:dyDescent="0.2">
      <c r="D220" s="4" t="s">
        <v>1867</v>
      </c>
      <c r="E220" s="102">
        <f>DCF!$F$110</f>
        <v>0.12293467402008129</v>
      </c>
      <c r="F220" s="102">
        <v>5.4554692710569452E-2</v>
      </c>
      <c r="G220" s="102">
        <v>0.12293467402008129</v>
      </c>
      <c r="H220" s="102">
        <v>0.12139041457713107</v>
      </c>
      <c r="I220" s="102">
        <v>9.8695261512051768E-2</v>
      </c>
      <c r="J220" s="102">
        <v>0.10227047437859516</v>
      </c>
      <c r="K220" s="102">
        <v>0.13494079617028998</v>
      </c>
    </row>
    <row r="221" spans="4:15" x14ac:dyDescent="0.2">
      <c r="D221" s="4" t="s">
        <v>1478</v>
      </c>
      <c r="E221" s="97">
        <f>DCF!$F$101</f>
        <v>138.61873512613755</v>
      </c>
      <c r="F221" s="97">
        <v>37.43009177395605</v>
      </c>
      <c r="G221" s="97">
        <v>138.61873512613755</v>
      </c>
      <c r="H221" s="97">
        <v>322.60773272721883</v>
      </c>
      <c r="I221" s="97">
        <v>35.501326194384546</v>
      </c>
      <c r="J221" s="97">
        <v>54.404898111865243</v>
      </c>
      <c r="K221" s="97">
        <v>207.58272989719796</v>
      </c>
    </row>
    <row r="222" spans="4:15" x14ac:dyDescent="0.2">
      <c r="D222" s="4" t="s">
        <v>1479</v>
      </c>
      <c r="E222" s="97">
        <f>Model!$Q$74</f>
        <v>141.56879755949356</v>
      </c>
      <c r="F222" s="97">
        <v>46.247027377072314</v>
      </c>
      <c r="G222" s="97">
        <v>141.56879755949356</v>
      </c>
      <c r="H222" s="97">
        <v>325.37851728107682</v>
      </c>
      <c r="I222" s="97">
        <v>45.130417804995041</v>
      </c>
      <c r="J222" s="97">
        <v>55.521202510709806</v>
      </c>
      <c r="K222" s="97">
        <v>213.14260454038131</v>
      </c>
    </row>
    <row r="224" spans="4:15" x14ac:dyDescent="0.2">
      <c r="D224" s="11" t="s">
        <v>2035</v>
      </c>
    </row>
    <row r="225" spans="4:11" x14ac:dyDescent="0.2">
      <c r="D225" s="4" t="s">
        <v>687</v>
      </c>
      <c r="E225" s="4"/>
      <c r="F225" s="4">
        <v>7</v>
      </c>
    </row>
    <row r="226" spans="4:11" x14ac:dyDescent="0.2">
      <c r="D226" s="4" t="s">
        <v>1480</v>
      </c>
      <c r="E226" s="97">
        <f>Model!$N$35</f>
        <v>548.44468704092708</v>
      </c>
      <c r="F226" s="97">
        <f t="dataTable" ref="F226:F229" dt2D="0" dtr="1" r1="E8" ca="1"/>
        <v>578.84760759954543</v>
      </c>
    </row>
    <row r="227" spans="4:11" x14ac:dyDescent="0.2">
      <c r="D227" s="4" t="s">
        <v>1481</v>
      </c>
      <c r="E227" s="102">
        <f>(Model!$N$35/Model!$I$35)^(1/5)-1</f>
        <v>0.22994342452277428</v>
      </c>
      <c r="F227" s="102">
        <v>0.24328706929203769</v>
      </c>
    </row>
    <row r="228" spans="4:11" x14ac:dyDescent="0.2">
      <c r="D228" s="4" t="s">
        <v>6</v>
      </c>
      <c r="E228" s="102">
        <f>DCF!$E$47</f>
        <v>0.67209186588627723</v>
      </c>
      <c r="F228" s="102">
        <v>0.67908994313299209</v>
      </c>
    </row>
    <row r="229" spans="4:11" x14ac:dyDescent="0.2">
      <c r="D229" s="4" t="s">
        <v>271</v>
      </c>
      <c r="E229" s="147">
        <f>DCF!$E$40</f>
        <v>11.363905192330774</v>
      </c>
      <c r="F229" s="147">
        <v>11.401749369679319</v>
      </c>
    </row>
    <row r="231" spans="4:11" x14ac:dyDescent="0.2">
      <c r="D231" s="11" t="s">
        <v>2036</v>
      </c>
    </row>
    <row r="232" spans="4:11" ht="51" x14ac:dyDescent="0.2">
      <c r="D232" s="11" t="s">
        <v>1488</v>
      </c>
      <c r="E232" s="151" t="s">
        <v>3</v>
      </c>
      <c r="F232" s="151" t="s">
        <v>2</v>
      </c>
      <c r="G232" s="151" t="s">
        <v>1538</v>
      </c>
      <c r="H232" s="151" t="s">
        <v>1489</v>
      </c>
      <c r="I232" s="151" t="s">
        <v>1796</v>
      </c>
      <c r="J232" s="151" t="s">
        <v>1490</v>
      </c>
      <c r="K232" s="151" t="s">
        <v>1491</v>
      </c>
    </row>
    <row r="233" spans="4:11" x14ac:dyDescent="0.2">
      <c r="D233" s="4" t="s">
        <v>687</v>
      </c>
      <c r="E233" s="4"/>
      <c r="F233" s="107">
        <v>11</v>
      </c>
      <c r="G233" s="107">
        <v>12</v>
      </c>
      <c r="H233" s="107">
        <v>13</v>
      </c>
      <c r="I233" s="107">
        <v>14</v>
      </c>
      <c r="J233" s="107">
        <v>15</v>
      </c>
      <c r="K233" s="107">
        <v>16</v>
      </c>
    </row>
    <row r="234" spans="4:11" x14ac:dyDescent="0.2">
      <c r="D234" s="4" t="s">
        <v>5</v>
      </c>
      <c r="E234" s="146">
        <f>Model!$F$100</f>
        <v>82.237886931210411</v>
      </c>
      <c r="F234" s="146">
        <f t="dataTable" ref="F234:K248" dt2D="0" dtr="1" r1="E8" ca="1"/>
        <v>82.237886931210411</v>
      </c>
      <c r="G234" s="146">
        <v>103.22085904605684</v>
      </c>
      <c r="H234" s="146">
        <v>121.72252979487672</v>
      </c>
      <c r="I234" s="146">
        <v>181.12115013857618</v>
      </c>
      <c r="J234" s="146">
        <v>122.08635684955809</v>
      </c>
      <c r="K234" s="146">
        <v>143.7891638591081</v>
      </c>
    </row>
    <row r="235" spans="4:11" x14ac:dyDescent="0.2">
      <c r="D235" s="4" t="s">
        <v>4</v>
      </c>
      <c r="E235" s="97">
        <f>Model!$F$99</f>
        <v>1415.584379662298</v>
      </c>
      <c r="F235" s="97">
        <v>1415.584379662298</v>
      </c>
      <c r="G235" s="97">
        <v>1776.7703083512492</v>
      </c>
      <c r="H235" s="97">
        <v>2095.244883598933</v>
      </c>
      <c r="I235" s="97">
        <v>3180.0442124764832</v>
      </c>
      <c r="J235" s="97">
        <v>2143.5376941054787</v>
      </c>
      <c r="K235" s="97">
        <v>2524.585880760706</v>
      </c>
    </row>
    <row r="236" spans="4:11" x14ac:dyDescent="0.2">
      <c r="D236" s="4" t="s">
        <v>1128</v>
      </c>
      <c r="E236" s="97">
        <f>Model!$I$35</f>
        <v>194.85302775523087</v>
      </c>
      <c r="F236" s="97">
        <v>194.85302775523087</v>
      </c>
      <c r="G236" s="97">
        <v>198.79225001525197</v>
      </c>
      <c r="H236" s="97">
        <v>208.48911290350023</v>
      </c>
      <c r="I236" s="97">
        <v>255.38216975704853</v>
      </c>
      <c r="J236" s="97">
        <v>238.66413534588577</v>
      </c>
      <c r="K236" s="97">
        <v>250.12126250707001</v>
      </c>
    </row>
    <row r="237" spans="4:11" x14ac:dyDescent="0.2">
      <c r="D237" s="4" t="s">
        <v>1122</v>
      </c>
      <c r="E237" s="97">
        <f>Model!$F$101</f>
        <v>410.53137216965064</v>
      </c>
      <c r="F237" s="97">
        <v>410.53137216965064</v>
      </c>
      <c r="G237" s="97">
        <v>431.57402925466761</v>
      </c>
      <c r="H237" s="97">
        <v>478.81064706744172</v>
      </c>
      <c r="I237" s="97">
        <v>671.5892788677852</v>
      </c>
      <c r="J237" s="97">
        <v>575.64313614196635</v>
      </c>
      <c r="K237" s="97">
        <v>637.2834589240191</v>
      </c>
    </row>
    <row r="238" spans="4:11" x14ac:dyDescent="0.2">
      <c r="D238" s="4" t="s">
        <v>1319</v>
      </c>
      <c r="E238" s="97">
        <f>Model!$Q$35</f>
        <v>737.80325502079654</v>
      </c>
      <c r="F238" s="97">
        <v>737.80325502079654</v>
      </c>
      <c r="G238" s="97">
        <v>796.94054887427285</v>
      </c>
      <c r="H238" s="97">
        <v>924.78876859394006</v>
      </c>
      <c r="I238" s="97">
        <v>1400.0237233271691</v>
      </c>
      <c r="J238" s="97">
        <v>1116.3944918890231</v>
      </c>
      <c r="K238" s="97">
        <v>1291.3931238185546</v>
      </c>
    </row>
    <row r="239" spans="4:11" x14ac:dyDescent="0.2">
      <c r="D239" s="4" t="s">
        <v>1440</v>
      </c>
      <c r="E239" s="102">
        <f>'Revenue Engine'!$P$64</f>
        <v>5.9994689892712387E-2</v>
      </c>
      <c r="F239" s="102">
        <v>5.9994689892712387E-2</v>
      </c>
      <c r="G239" s="102">
        <v>5.9994689892712387E-2</v>
      </c>
      <c r="H239" s="102">
        <v>5.9994689892712387E-2</v>
      </c>
      <c r="I239" s="102">
        <v>8.9989946366885815E-2</v>
      </c>
      <c r="J239" s="102">
        <v>8.9989946366885815E-2</v>
      </c>
      <c r="K239" s="102">
        <v>8.9989946366885815E-2</v>
      </c>
    </row>
    <row r="240" spans="4:11" x14ac:dyDescent="0.2">
      <c r="D240" s="4" t="s">
        <v>1323</v>
      </c>
      <c r="E240" s="102">
        <f>'Revenue Engine'!$P$79</f>
        <v>0.43666882645446181</v>
      </c>
      <c r="F240" s="102">
        <v>0.43666882645446181</v>
      </c>
      <c r="G240" s="102">
        <v>0.47166923141467343</v>
      </c>
      <c r="H240" s="102">
        <v>0.54733619505216191</v>
      </c>
      <c r="I240" s="102">
        <v>0.55241547585074924</v>
      </c>
      <c r="J240" s="102">
        <v>0.44050224592509374</v>
      </c>
      <c r="K240" s="102">
        <v>0.50955247051760311</v>
      </c>
    </row>
    <row r="241" spans="4:11" x14ac:dyDescent="0.2">
      <c r="D241" s="4" t="s">
        <v>1441</v>
      </c>
      <c r="E241" s="102">
        <f>Model!$Q$59</f>
        <v>0.25783147702839776</v>
      </c>
      <c r="F241" s="102">
        <v>0.25783147702839776</v>
      </c>
      <c r="G241" s="102">
        <v>0.30526123426468982</v>
      </c>
      <c r="H241" s="102">
        <v>0.31129819649524298</v>
      </c>
      <c r="I241" s="102">
        <v>0.31091118665162942</v>
      </c>
      <c r="J241" s="102">
        <v>0.25680388673266397</v>
      </c>
      <c r="K241" s="102">
        <v>0.26300266205674333</v>
      </c>
    </row>
    <row r="242" spans="4:11" x14ac:dyDescent="0.2">
      <c r="D242" s="4" t="s">
        <v>1442</v>
      </c>
      <c r="E242" s="102">
        <f>Model!$Q$49</f>
        <v>0.12461141972800993</v>
      </c>
      <c r="F242" s="102">
        <v>0.12461141972800993</v>
      </c>
      <c r="G242" s="102">
        <v>0.12493707609160046</v>
      </c>
      <c r="H242" s="102">
        <v>0.11998118367669036</v>
      </c>
      <c r="I242" s="102">
        <v>0.12116313265853738</v>
      </c>
      <c r="J242" s="102">
        <v>0.12590057846265795</v>
      </c>
      <c r="K242" s="102">
        <v>0.12092449843140268</v>
      </c>
    </row>
    <row r="243" spans="4:11" x14ac:dyDescent="0.2">
      <c r="D243" s="4" t="s">
        <v>1496</v>
      </c>
      <c r="E243" s="102">
        <f>'Revenue Engine'!$P$85</f>
        <v>0.23755710324359222</v>
      </c>
      <c r="F243" s="102">
        <v>0.23755710324359222</v>
      </c>
      <c r="G243" s="102">
        <v>0.18980168964370961</v>
      </c>
      <c r="H243" s="102">
        <v>0.18872061982806654</v>
      </c>
      <c r="I243" s="102">
        <v>0.18792568068983329</v>
      </c>
      <c r="J243" s="102">
        <v>0.23729553480467808</v>
      </c>
      <c r="K243" s="102">
        <v>0.23607283951185398</v>
      </c>
    </row>
    <row r="244" spans="4:11" x14ac:dyDescent="0.2">
      <c r="D244" s="4" t="s">
        <v>1497</v>
      </c>
      <c r="E244" s="102">
        <f>'Revenue Engine'!$P$87</f>
        <v>0.2</v>
      </c>
      <c r="F244" s="102">
        <v>0.2</v>
      </c>
      <c r="G244" s="102">
        <v>0.2</v>
      </c>
      <c r="H244" s="102">
        <v>0.2</v>
      </c>
      <c r="I244" s="102">
        <v>0.2</v>
      </c>
      <c r="J244" s="102">
        <v>0.2</v>
      </c>
      <c r="K244" s="102">
        <v>0.2</v>
      </c>
    </row>
    <row r="245" spans="4:11" x14ac:dyDescent="0.2">
      <c r="D245" s="4" t="s">
        <v>1498</v>
      </c>
      <c r="E245" s="99">
        <f>'Revenue Engine'!$P$50</f>
        <v>735.11907759088444</v>
      </c>
      <c r="F245" s="99">
        <v>735.11907759088444</v>
      </c>
      <c r="G245" s="99">
        <v>735.11907759088444</v>
      </c>
      <c r="H245" s="99">
        <v>735.11907759088444</v>
      </c>
      <c r="I245" s="99">
        <v>1010.7652740097667</v>
      </c>
      <c r="J245" s="99">
        <v>1010.7652740097667</v>
      </c>
      <c r="K245" s="99">
        <v>1010.7652740097667</v>
      </c>
    </row>
    <row r="246" spans="4:11" x14ac:dyDescent="0.2">
      <c r="D246" s="4" t="s">
        <v>1499</v>
      </c>
      <c r="E246" s="97">
        <f>Model!$H$58</f>
        <v>10.038359034120813</v>
      </c>
      <c r="F246" s="97">
        <v>10.038359034120813</v>
      </c>
      <c r="G246" s="97">
        <v>10.835165345537161</v>
      </c>
      <c r="H246" s="97">
        <v>13.156385999274239</v>
      </c>
      <c r="I246" s="97">
        <v>24.631815394128775</v>
      </c>
      <c r="J246" s="97">
        <v>21.184053192409024</v>
      </c>
      <c r="K246" s="97">
        <v>23.706955045206644</v>
      </c>
    </row>
    <row r="247" spans="4:11" x14ac:dyDescent="0.2">
      <c r="D247" s="4" t="s">
        <v>6</v>
      </c>
      <c r="E247" s="102">
        <f>DCF!$E$47</f>
        <v>0.67209186588627723</v>
      </c>
      <c r="F247" s="102">
        <v>0.67209186588627723</v>
      </c>
      <c r="G247" s="102">
        <v>0.67874313318861179</v>
      </c>
      <c r="H247" s="102">
        <v>0.6797994051983911</v>
      </c>
      <c r="I247" s="102">
        <v>0.67174177192393392</v>
      </c>
      <c r="J247" s="102">
        <v>0.65489096967573179</v>
      </c>
      <c r="K247" s="102">
        <v>0.65905472354807582</v>
      </c>
    </row>
    <row r="248" spans="4:11" x14ac:dyDescent="0.2">
      <c r="D248" s="4" t="s">
        <v>271</v>
      </c>
      <c r="E248" s="147">
        <f>DCF!$E$40</f>
        <v>11.363905192330774</v>
      </c>
      <c r="F248" s="147">
        <v>11.363905192330774</v>
      </c>
      <c r="G248" s="147">
        <v>11.51496926122079</v>
      </c>
      <c r="H248" s="147">
        <v>11.642077414311711</v>
      </c>
      <c r="I248" s="147">
        <v>11.829847885327407</v>
      </c>
      <c r="J248" s="147">
        <v>11.540244282094536</v>
      </c>
      <c r="K248" s="147">
        <v>11.66766651157579</v>
      </c>
    </row>
    <row r="250" spans="4:11" x14ac:dyDescent="0.2">
      <c r="D250" s="11" t="s">
        <v>2002</v>
      </c>
    </row>
    <row r="251" spans="4:11" x14ac:dyDescent="0.2">
      <c r="D251" s="11" t="s">
        <v>1542</v>
      </c>
      <c r="E251" s="11"/>
      <c r="F251" s="142">
        <v>0.3</v>
      </c>
      <c r="G251" s="142">
        <v>0.4</v>
      </c>
      <c r="H251" s="142">
        <v>0.45</v>
      </c>
    </row>
    <row r="252" spans="4:11" x14ac:dyDescent="0.2">
      <c r="D252" s="4" t="s">
        <v>5</v>
      </c>
      <c r="E252" s="146">
        <f>Model!$F$100</f>
        <v>82.237886931210411</v>
      </c>
      <c r="F252" s="146">
        <f t="dataTable" ref="F252:H260" dt2D="0" dtr="1" r1="E116" ca="1"/>
        <v>71.343478326680057</v>
      </c>
      <c r="G252" s="146">
        <v>82.237886931210411</v>
      </c>
      <c r="H252" s="146">
        <v>87.702622950232112</v>
      </c>
    </row>
    <row r="253" spans="4:11" x14ac:dyDescent="0.2">
      <c r="D253" s="4" t="s">
        <v>4</v>
      </c>
      <c r="E253" s="97">
        <f>Model!$F$99</f>
        <v>1415.584379662298</v>
      </c>
      <c r="F253" s="97">
        <v>1228.055793730467</v>
      </c>
      <c r="G253" s="97">
        <v>1415.584379662298</v>
      </c>
      <c r="H253" s="97">
        <v>1509.6504511066657</v>
      </c>
    </row>
    <row r="254" spans="4:11" x14ac:dyDescent="0.2">
      <c r="D254" s="4" t="s">
        <v>1128</v>
      </c>
      <c r="E254" s="97">
        <f>Model!$I$35</f>
        <v>194.85302775523087</v>
      </c>
      <c r="F254" s="97">
        <v>192.22687958188348</v>
      </c>
      <c r="G254" s="97">
        <v>194.85302775523087</v>
      </c>
      <c r="H254" s="97">
        <v>196.16610184190461</v>
      </c>
    </row>
    <row r="255" spans="4:11" x14ac:dyDescent="0.2">
      <c r="D255" s="4" t="s">
        <v>1319</v>
      </c>
      <c r="E255" s="97">
        <f>Model!$Q$35</f>
        <v>737.80325502079654</v>
      </c>
      <c r="F255" s="97">
        <v>698.37839245181226</v>
      </c>
      <c r="G255" s="97">
        <v>737.80325502079654</v>
      </c>
      <c r="H255" s="97">
        <v>757.51568630528868</v>
      </c>
    </row>
    <row r="256" spans="4:11" x14ac:dyDescent="0.2">
      <c r="D256" s="4" t="s">
        <v>1440</v>
      </c>
      <c r="E256" s="102">
        <f>'Revenue Engine'!$P$64</f>
        <v>5.9994689892712387E-2</v>
      </c>
      <c r="F256" s="102">
        <v>5.9994689892712387E-2</v>
      </c>
      <c r="G256" s="102">
        <v>5.9994689892712387E-2</v>
      </c>
      <c r="H256" s="102">
        <v>5.9994689892712387E-2</v>
      </c>
    </row>
    <row r="257" spans="4:8" x14ac:dyDescent="0.2">
      <c r="D257" s="4" t="s">
        <v>1323</v>
      </c>
      <c r="E257" s="102">
        <f>'Revenue Engine'!$P$79</f>
        <v>0.43666882645446181</v>
      </c>
      <c r="F257" s="102">
        <v>0.41333522314765403</v>
      </c>
      <c r="G257" s="102">
        <v>0.43666882645446181</v>
      </c>
      <c r="H257" s="102">
        <v>0.44833562810786576</v>
      </c>
    </row>
    <row r="258" spans="4:8" x14ac:dyDescent="0.2">
      <c r="D258" s="4" t="s">
        <v>1441</v>
      </c>
      <c r="E258" s="102">
        <f>Model!$Q$59</f>
        <v>0.25783147702839776</v>
      </c>
      <c r="F258" s="102">
        <v>0.23168468388331251</v>
      </c>
      <c r="G258" s="102">
        <v>0.25783147702839776</v>
      </c>
      <c r="H258" s="102">
        <v>0.26988426728380371</v>
      </c>
    </row>
    <row r="259" spans="4:8" x14ac:dyDescent="0.2">
      <c r="D259" s="4" t="s">
        <v>1496</v>
      </c>
      <c r="E259" s="102">
        <f>'Revenue Engine'!$P$85</f>
        <v>0.23755710324359222</v>
      </c>
      <c r="F259" s="102">
        <v>0.26395164055712006</v>
      </c>
      <c r="G259" s="102">
        <v>0.23755710324359222</v>
      </c>
      <c r="H259" s="102">
        <v>0.22539011127776368</v>
      </c>
    </row>
    <row r="260" spans="4:8" x14ac:dyDescent="0.2">
      <c r="D260" s="4" t="s">
        <v>1442</v>
      </c>
      <c r="E260" s="102">
        <f>Model!$Q$49</f>
        <v>0.12461141972800993</v>
      </c>
      <c r="F260" s="102">
        <v>0.12436367555956745</v>
      </c>
      <c r="G260" s="102">
        <v>0.12461141972800993</v>
      </c>
      <c r="H260" s="102">
        <v>0.1247256214384326</v>
      </c>
    </row>
    <row r="262" spans="4:8" x14ac:dyDescent="0.2">
      <c r="D262" s="11" t="s">
        <v>2037</v>
      </c>
    </row>
    <row r="263" spans="4:8" ht="25.5" x14ac:dyDescent="0.2">
      <c r="D263" s="11" t="s">
        <v>687</v>
      </c>
      <c r="E263" s="11"/>
      <c r="F263" s="153">
        <v>17</v>
      </c>
      <c r="G263" s="151" t="s">
        <v>1138</v>
      </c>
      <c r="H263" s="151" t="s">
        <v>1543</v>
      </c>
    </row>
    <row r="264" spans="4:8" x14ac:dyDescent="0.2">
      <c r="D264" s="4" t="s">
        <v>5</v>
      </c>
      <c r="E264" s="146">
        <f>Model!$F$100</f>
        <v>82.237886931210411</v>
      </c>
      <c r="F264" s="146">
        <f t="dataTable" ref="F264:F272" dt2D="0" dtr="1" r1="E8" ca="1"/>
        <v>49.932834754421847</v>
      </c>
      <c r="G264" s="146">
        <f>$J$152</f>
        <v>34.672453989977669</v>
      </c>
      <c r="H264" s="146">
        <f t="shared" ref="H264:H272" si="3">F264-G264</f>
        <v>15.260380764444179</v>
      </c>
    </row>
    <row r="265" spans="4:8" x14ac:dyDescent="0.2">
      <c r="D265" s="4" t="s">
        <v>4</v>
      </c>
      <c r="E265" s="97">
        <f>Model!$F$99</f>
        <v>1415.584379662298</v>
      </c>
      <c r="F265" s="97">
        <v>842.65513073453792</v>
      </c>
      <c r="G265" s="97">
        <f>$J$151</f>
        <v>585.12442551090192</v>
      </c>
      <c r="H265" s="97">
        <f t="shared" si="3"/>
        <v>257.53070522363601</v>
      </c>
    </row>
    <row r="266" spans="4:8" x14ac:dyDescent="0.2">
      <c r="D266" s="4" t="s">
        <v>1128</v>
      </c>
      <c r="E266" s="97">
        <f>Model!$I$35</f>
        <v>194.85302775523087</v>
      </c>
      <c r="F266" s="97">
        <v>180.85273946864427</v>
      </c>
      <c r="G266" s="97">
        <f>$J$154</f>
        <v>167.12170924386479</v>
      </c>
      <c r="H266" s="97">
        <f t="shared" si="3"/>
        <v>13.731030224779488</v>
      </c>
    </row>
    <row r="267" spans="4:8" x14ac:dyDescent="0.2">
      <c r="D267" s="4" t="s">
        <v>1319</v>
      </c>
      <c r="E267" s="97">
        <f>Model!$Q$35</f>
        <v>737.80325502079654</v>
      </c>
      <c r="F267" s="97">
        <v>564.33522817292032</v>
      </c>
      <c r="G267" s="97">
        <f>$J$156</f>
        <v>391.99343047620715</v>
      </c>
      <c r="H267" s="97">
        <f t="shared" si="3"/>
        <v>172.34179769671317</v>
      </c>
    </row>
    <row r="268" spans="4:8" x14ac:dyDescent="0.2">
      <c r="D268" s="4" t="s">
        <v>1440</v>
      </c>
      <c r="E268" s="102">
        <f>'Revenue Engine'!$P$64</f>
        <v>5.9994689892712387E-2</v>
      </c>
      <c r="F268" s="102">
        <v>5.9994689892712387E-2</v>
      </c>
      <c r="G268" s="102">
        <f>$J$159</f>
        <v>5.9994689892712387E-2</v>
      </c>
      <c r="H268" s="102">
        <f t="shared" si="3"/>
        <v>0</v>
      </c>
    </row>
    <row r="269" spans="4:8" x14ac:dyDescent="0.2">
      <c r="D269" s="4" t="s">
        <v>1323</v>
      </c>
      <c r="E269" s="102">
        <f>'Revenue Engine'!$P$79</f>
        <v>0.43666882645446181</v>
      </c>
      <c r="F269" s="102">
        <v>0.33400178182493107</v>
      </c>
      <c r="G269" s="102">
        <f>$J$160</f>
        <v>0.23200129587267709</v>
      </c>
      <c r="H269" s="102">
        <f t="shared" si="3"/>
        <v>0.10200048595225397</v>
      </c>
    </row>
    <row r="270" spans="4:8" x14ac:dyDescent="0.2">
      <c r="D270" s="4" t="s">
        <v>1441</v>
      </c>
      <c r="E270" s="102">
        <f>Model!$Q$59</f>
        <v>0.25783147702839776</v>
      </c>
      <c r="F270" s="102">
        <v>0.19800503403693334</v>
      </c>
      <c r="G270" s="102">
        <f>$J$161</f>
        <v>0.1916887017636858</v>
      </c>
      <c r="H270" s="102">
        <f t="shared" si="3"/>
        <v>6.3163322732475435E-3</v>
      </c>
    </row>
    <row r="271" spans="4:8" x14ac:dyDescent="0.2">
      <c r="D271" s="4" t="s">
        <v>1496</v>
      </c>
      <c r="E271" s="102">
        <f>'Revenue Engine'!$P$85</f>
        <v>0.23755710324359222</v>
      </c>
      <c r="F271" s="102">
        <v>0.25874250712907071</v>
      </c>
      <c r="G271" s="102">
        <f>$J$162</f>
        <v>0.26482761509807012</v>
      </c>
      <c r="H271" s="102">
        <f t="shared" si="3"/>
        <v>-6.0851079689994148E-3</v>
      </c>
    </row>
    <row r="272" spans="4:8" x14ac:dyDescent="0.2">
      <c r="D272" s="4" t="s">
        <v>1442</v>
      </c>
      <c r="E272" s="102">
        <f>Model!$Q$49</f>
        <v>0.12461141972800993</v>
      </c>
      <c r="F272" s="102">
        <v>0.16825245883399595</v>
      </c>
      <c r="G272" s="102">
        <f>$J$174</f>
        <v>0.16848368313824413</v>
      </c>
      <c r="H272" s="102">
        <f t="shared" si="3"/>
        <v>-2.312243042481843E-4</v>
      </c>
    </row>
    <row r="274" spans="4:16" x14ac:dyDescent="0.2">
      <c r="D274" s="11" t="s">
        <v>2038</v>
      </c>
    </row>
    <row r="275" spans="4:16" x14ac:dyDescent="0.2">
      <c r="D275" s="4" t="s">
        <v>1544</v>
      </c>
      <c r="E275" s="4">
        <f>Model!$F$100</f>
        <v>82.237886931210411</v>
      </c>
      <c r="F275" s="4">
        <v>1</v>
      </c>
      <c r="G275" s="4">
        <v>2</v>
      </c>
      <c r="H275" s="4">
        <v>3</v>
      </c>
      <c r="I275" s="4">
        <v>4</v>
      </c>
      <c r="J275" s="4">
        <v>5</v>
      </c>
      <c r="K275" s="4">
        <v>6</v>
      </c>
    </row>
    <row r="276" spans="4:16" x14ac:dyDescent="0.2">
      <c r="D276" s="4" t="s">
        <v>1545</v>
      </c>
      <c r="E276" s="4">
        <v>18</v>
      </c>
      <c r="F276" s="146">
        <f t="dataTable" ref="F276:K276" dt2D="1" dtr="1" r1="E7" r2="E8" ca="1"/>
        <v>16.722980765312727</v>
      </c>
      <c r="G276" s="146">
        <v>82.625894167494934</v>
      </c>
      <c r="H276" s="146">
        <v>181.38328162987241</v>
      </c>
      <c r="I276" s="146">
        <v>17.95255303382989</v>
      </c>
      <c r="J276" s="146">
        <v>35.253878425650996</v>
      </c>
      <c r="K276" s="146">
        <v>122.3615694400935</v>
      </c>
    </row>
    <row r="277" spans="4:16" x14ac:dyDescent="0.2">
      <c r="D277" s="4" t="s">
        <v>1546</v>
      </c>
      <c r="E277" s="4"/>
      <c r="F277" s="146">
        <f t="shared" ref="F277:K277" si="4">F$18</f>
        <v>14.190657849216866</v>
      </c>
      <c r="G277" s="146">
        <f t="shared" si="4"/>
        <v>82.237886931210411</v>
      </c>
      <c r="H277" s="146">
        <f t="shared" si="4"/>
        <v>181.12115013857618</v>
      </c>
      <c r="I277" s="146">
        <f t="shared" si="4"/>
        <v>16.698088546361145</v>
      </c>
      <c r="J277" s="146">
        <f t="shared" si="4"/>
        <v>34.672453989977669</v>
      </c>
      <c r="K277" s="146">
        <f t="shared" si="4"/>
        <v>122.08638966243501</v>
      </c>
    </row>
    <row r="278" spans="4:16" x14ac:dyDescent="0.2">
      <c r="D278" s="4" t="s">
        <v>1547</v>
      </c>
      <c r="E278" s="4"/>
      <c r="F278" s="146">
        <f t="shared" ref="F278:K278" si="5">F276-F277</f>
        <v>2.5323229160958611</v>
      </c>
      <c r="G278" s="146">
        <f t="shared" si="5"/>
        <v>0.38800723628452261</v>
      </c>
      <c r="H278" s="146">
        <f t="shared" si="5"/>
        <v>0.26213149129623048</v>
      </c>
      <c r="I278" s="146">
        <f t="shared" si="5"/>
        <v>1.2544644874687449</v>
      </c>
      <c r="J278" s="146">
        <f t="shared" si="5"/>
        <v>0.58142443567332691</v>
      </c>
      <c r="K278" s="146">
        <f t="shared" si="5"/>
        <v>0.27517977765849366</v>
      </c>
    </row>
    <row r="280" spans="4:16" x14ac:dyDescent="0.2">
      <c r="D280" s="11" t="s">
        <v>2039</v>
      </c>
    </row>
    <row r="281" spans="4:16" x14ac:dyDescent="0.2">
      <c r="D281" s="94" t="s">
        <v>1136</v>
      </c>
      <c r="E281" s="94"/>
      <c r="F281" s="129" t="s">
        <v>1684</v>
      </c>
      <c r="G281" s="129" t="s">
        <v>1685</v>
      </c>
      <c r="H281" s="129" t="s">
        <v>1686</v>
      </c>
      <c r="I281" s="129" t="s">
        <v>1687</v>
      </c>
      <c r="J281" s="129" t="s">
        <v>1688</v>
      </c>
      <c r="K281" s="129" t="s">
        <v>1689</v>
      </c>
      <c r="L281" s="129" t="s">
        <v>1690</v>
      </c>
      <c r="M281" s="129" t="s">
        <v>1691</v>
      </c>
      <c r="N281" s="129" t="s">
        <v>1692</v>
      </c>
      <c r="O281" s="129" t="s">
        <v>1693</v>
      </c>
      <c r="P281" s="129" t="s">
        <v>1694</v>
      </c>
    </row>
    <row r="282" spans="4:16" x14ac:dyDescent="0.2">
      <c r="D282" s="4" t="s">
        <v>180</v>
      </c>
      <c r="E282" s="4"/>
      <c r="F282" s="97">
        <f>$F$316</f>
        <v>104.14710969778609</v>
      </c>
      <c r="G282" s="97">
        <f>$F$317</f>
        <v>116.65676543060052</v>
      </c>
      <c r="H282" s="97">
        <f>$F$318</f>
        <v>124.21333722450873</v>
      </c>
      <c r="I282" s="97">
        <f>$F$319</f>
        <v>130.18920218280959</v>
      </c>
      <c r="J282" s="97">
        <f>$F$320</f>
        <v>135.75781823223124</v>
      </c>
      <c r="K282" s="97">
        <f>$F$321</f>
        <v>141.32796803613454</v>
      </c>
      <c r="L282" s="97">
        <f>$F$322</f>
        <v>147.04565163321286</v>
      </c>
      <c r="M282" s="97">
        <f>$F$323</f>
        <v>152.96687898069166</v>
      </c>
      <c r="N282" s="97">
        <f>$F$324</f>
        <v>159.11701352443609</v>
      </c>
      <c r="O282" s="97">
        <f>$F$325</f>
        <v>165.51114894402144</v>
      </c>
      <c r="P282" s="97">
        <f t="shared" ref="P282:P287" si="6">SUM(F282:O282)</f>
        <v>1376.9328938864328</v>
      </c>
    </row>
    <row r="283" spans="4:16" x14ac:dyDescent="0.2">
      <c r="D283" s="4" t="s">
        <v>1695</v>
      </c>
      <c r="E283" s="4"/>
      <c r="F283" s="97">
        <f>$F$326</f>
        <v>37.32266666666667</v>
      </c>
      <c r="G283" s="97">
        <f>$F$327</f>
        <v>59.716266666666677</v>
      </c>
      <c r="H283" s="97">
        <f>$F$328</f>
        <v>57.965397577565277</v>
      </c>
      <c r="I283" s="97">
        <f>$F$329</f>
        <v>54.86470701592873</v>
      </c>
      <c r="J283" s="97">
        <f>$F$330</f>
        <v>51.070153092789589</v>
      </c>
      <c r="K283" s="97">
        <f>$F$331</f>
        <v>46.772290183170362</v>
      </c>
      <c r="L283" s="97">
        <f>$F$332</f>
        <v>42.012624019497508</v>
      </c>
      <c r="M283" s="97">
        <f>$F$333</f>
        <v>36.784601533774236</v>
      </c>
      <c r="N283" s="97">
        <f>$F$334</f>
        <v>31.065551398464564</v>
      </c>
      <c r="O283" s="97">
        <f>$F$335</f>
        <v>24.826672341603221</v>
      </c>
      <c r="P283" s="97">
        <f t="shared" si="6"/>
        <v>442.40093049612682</v>
      </c>
    </row>
    <row r="284" spans="4:16" x14ac:dyDescent="0.2">
      <c r="D284" s="4" t="s">
        <v>1524</v>
      </c>
      <c r="E284" s="4"/>
      <c r="F284" s="97">
        <f>$F$336</f>
        <v>37.32266666666667</v>
      </c>
      <c r="G284" s="97">
        <f>$F$337</f>
        <v>59.716266666666677</v>
      </c>
      <c r="H284" s="97">
        <f>$F$338</f>
        <v>57.965397577565277</v>
      </c>
      <c r="I284" s="97">
        <f>$F$339</f>
        <v>54.86470701592873</v>
      </c>
      <c r="J284" s="97">
        <f>$F$340</f>
        <v>51.070153092789589</v>
      </c>
      <c r="K284" s="97">
        <f>$F$341</f>
        <v>46.772290183170362</v>
      </c>
      <c r="L284" s="97">
        <f>$F$342</f>
        <v>42.012624019497508</v>
      </c>
      <c r="M284" s="97">
        <f>$F$343</f>
        <v>34.745043147365017</v>
      </c>
      <c r="N284" s="97">
        <f>$F$344</f>
        <v>26.822431037812933</v>
      </c>
      <c r="O284" s="97">
        <f>$F$345</f>
        <v>18.206226383842356</v>
      </c>
      <c r="P284" s="97">
        <f t="shared" si="6"/>
        <v>429.49780579130515</v>
      </c>
    </row>
    <row r="285" spans="4:16" x14ac:dyDescent="0.2">
      <c r="D285" s="4" t="s">
        <v>1525</v>
      </c>
      <c r="E285" s="4"/>
      <c r="F285" s="97">
        <f>$F$346</f>
        <v>0</v>
      </c>
      <c r="G285" s="97">
        <f>$F$347</f>
        <v>0</v>
      </c>
      <c r="H285" s="97">
        <f>$F$348</f>
        <v>0</v>
      </c>
      <c r="I285" s="97">
        <f>$F$349</f>
        <v>0</v>
      </c>
      <c r="J285" s="97">
        <f>$F$350</f>
        <v>0</v>
      </c>
      <c r="K285" s="97">
        <f>$F$351</f>
        <v>0</v>
      </c>
      <c r="L285" s="97">
        <f>$F$352</f>
        <v>0</v>
      </c>
      <c r="M285" s="97">
        <f>$F$353</f>
        <v>2.0395583864092188</v>
      </c>
      <c r="N285" s="97">
        <f>$F$354</f>
        <v>4.2431203606516306</v>
      </c>
      <c r="O285" s="97">
        <f>$F$355</f>
        <v>6.6204459577608645</v>
      </c>
      <c r="P285" s="97">
        <f t="shared" si="6"/>
        <v>12.903124704821714</v>
      </c>
    </row>
    <row r="286" spans="4:16" x14ac:dyDescent="0.2">
      <c r="D286" s="4" t="s">
        <v>1696</v>
      </c>
      <c r="E286" s="4"/>
      <c r="F286" s="97">
        <f>$F$356</f>
        <v>0</v>
      </c>
      <c r="G286" s="97">
        <f>$F$357</f>
        <v>0</v>
      </c>
      <c r="H286" s="97">
        <f>$F$358</f>
        <v>0</v>
      </c>
      <c r="I286" s="97">
        <f>$F$359</f>
        <v>0</v>
      </c>
      <c r="J286" s="97">
        <f>$F$360</f>
        <v>0</v>
      </c>
      <c r="K286" s="97">
        <f>$F$361</f>
        <v>0</v>
      </c>
      <c r="L286" s="97">
        <f>$F$362</f>
        <v>0</v>
      </c>
      <c r="M286" s="97">
        <f>$F$363</f>
        <v>2.0395583864092259</v>
      </c>
      <c r="N286" s="97">
        <f>$F$364</f>
        <v>4.2431203606516306</v>
      </c>
      <c r="O286" s="97">
        <f>$F$365</f>
        <v>6.6204459577608716</v>
      </c>
      <c r="P286" s="97">
        <f t="shared" si="6"/>
        <v>12.903124704821728</v>
      </c>
    </row>
    <row r="287" spans="4:16" x14ac:dyDescent="0.2">
      <c r="D287" s="4" t="s">
        <v>1697</v>
      </c>
      <c r="E287" s="4"/>
      <c r="F287" s="97">
        <f>$F$366</f>
        <v>0</v>
      </c>
      <c r="G287" s="97">
        <f>$F$367</f>
        <v>0</v>
      </c>
      <c r="H287" s="97">
        <f>$F$368</f>
        <v>0</v>
      </c>
      <c r="I287" s="97">
        <f>$F$369</f>
        <v>0</v>
      </c>
      <c r="J287" s="97">
        <f>$F$370</f>
        <v>0</v>
      </c>
      <c r="K287" s="97">
        <f>$F$371</f>
        <v>0</v>
      </c>
      <c r="L287" s="97">
        <f>$F$372</f>
        <v>0</v>
      </c>
      <c r="M287" s="97">
        <f>$F$373</f>
        <v>-7.1054273576010019E-15</v>
      </c>
      <c r="N287" s="97">
        <f>$F$374</f>
        <v>0</v>
      </c>
      <c r="O287" s="97">
        <f>$F$375</f>
        <v>-7.1054273576010019E-15</v>
      </c>
      <c r="P287" s="97">
        <f t="shared" si="6"/>
        <v>-1.4210854715202004E-14</v>
      </c>
    </row>
    <row r="288" spans="4:16" x14ac:dyDescent="0.2">
      <c r="D288" s="4" t="s">
        <v>184</v>
      </c>
      <c r="E288" s="4"/>
      <c r="F288" s="97">
        <f>$F$376</f>
        <v>79.710756160917683</v>
      </c>
      <c r="G288" s="97">
        <f>$F$377</f>
        <v>105.96184116050772</v>
      </c>
      <c r="H288" s="97">
        <f>$F$378</f>
        <v>123.24482669897955</v>
      </c>
      <c r="I288" s="97">
        <f>$F$379</f>
        <v>133.38266871063979</v>
      </c>
      <c r="J288" s="97">
        <f>$F$380</f>
        <v>129.70706732107197</v>
      </c>
      <c r="K288" s="97">
        <f>$F$381</f>
        <v>108.52182089455961</v>
      </c>
      <c r="L288" s="97">
        <f>$F$382</f>
        <v>74.565777826213051</v>
      </c>
      <c r="M288" s="97">
        <f>$F$383</f>
        <v>55.490728837638159</v>
      </c>
      <c r="N288" s="97">
        <f>$F$384</f>
        <v>30.490728837638187</v>
      </c>
      <c r="O288" s="97">
        <f>$F$385</f>
        <v>22.301839948748395</v>
      </c>
      <c r="P288" s="4"/>
    </row>
    <row r="289" spans="4:16" x14ac:dyDescent="0.2">
      <c r="D289" s="4" t="s">
        <v>1698</v>
      </c>
      <c r="E289" s="4"/>
      <c r="F289" s="97">
        <f>$F$386</f>
        <v>0</v>
      </c>
      <c r="G289" s="97">
        <f>$F$387</f>
        <v>0</v>
      </c>
      <c r="H289" s="97">
        <f>$F$388</f>
        <v>0</v>
      </c>
      <c r="I289" s="97">
        <f>$F$389</f>
        <v>0</v>
      </c>
      <c r="J289" s="97">
        <f>$F$390</f>
        <v>0</v>
      </c>
      <c r="K289" s="97">
        <f>$F$391</f>
        <v>0</v>
      </c>
      <c r="L289" s="97">
        <f>$F$392</f>
        <v>5.1253588867794946</v>
      </c>
      <c r="M289" s="97">
        <f>$F$393</f>
        <v>18.450358380186202</v>
      </c>
      <c r="N289" s="97">
        <f>$F$394</f>
        <v>37.103750301489612</v>
      </c>
      <c r="O289" s="97">
        <f>$F$395</f>
        <v>38.31489867036229</v>
      </c>
      <c r="P289" s="97">
        <f>SUM(F289:O289)</f>
        <v>98.994366238817605</v>
      </c>
    </row>
    <row r="290" spans="4:16" x14ac:dyDescent="0.2">
      <c r="D290" s="4" t="s">
        <v>1699</v>
      </c>
      <c r="E290" s="4"/>
      <c r="F290" s="102">
        <f>$F$396</f>
        <v>0</v>
      </c>
      <c r="G290" s="102">
        <f>$F$397</f>
        <v>0</v>
      </c>
      <c r="H290" s="102">
        <f>$F$398</f>
        <v>0</v>
      </c>
      <c r="I290" s="102">
        <f>$F$399</f>
        <v>0</v>
      </c>
      <c r="J290" s="102">
        <f>$F$400</f>
        <v>0</v>
      </c>
      <c r="K290" s="102">
        <f>$F$401</f>
        <v>0</v>
      </c>
      <c r="L290" s="102">
        <f>$F$402</f>
        <v>0.125</v>
      </c>
      <c r="M290" s="102">
        <f>$F$403</f>
        <v>0.25</v>
      </c>
      <c r="N290" s="102">
        <f>$F$404</f>
        <v>0.25</v>
      </c>
      <c r="O290" s="102">
        <f>$F$405</f>
        <v>0.25</v>
      </c>
      <c r="P290" s="4"/>
    </row>
    <row r="291" spans="4:16" x14ac:dyDescent="0.2">
      <c r="D291" s="4" t="s">
        <v>1532</v>
      </c>
      <c r="E291" s="4"/>
      <c r="F291" s="97">
        <f>$F$406</f>
        <v>0</v>
      </c>
      <c r="G291" s="97">
        <f>$F$407</f>
        <v>0</v>
      </c>
      <c r="H291" s="97">
        <f>$F$408</f>
        <v>0</v>
      </c>
      <c r="I291" s="97">
        <f>$F$409</f>
        <v>0</v>
      </c>
      <c r="J291" s="97">
        <f>$F$410</f>
        <v>0</v>
      </c>
      <c r="K291" s="97">
        <f>$F$411</f>
        <v>0</v>
      </c>
      <c r="L291" s="97">
        <f>$F$412</f>
        <v>0.32033493042371841</v>
      </c>
      <c r="M291" s="97">
        <f>$F$413</f>
        <v>2.3062947975232753</v>
      </c>
      <c r="N291" s="97">
        <f>$F$414</f>
        <v>4.6379687876862015</v>
      </c>
      <c r="O291" s="97">
        <f>$F$415</f>
        <v>4.7893623337952862</v>
      </c>
      <c r="P291" s="97">
        <f>SUM(F291:O291)</f>
        <v>12.053960849428481</v>
      </c>
    </row>
    <row r="292" spans="4:16" x14ac:dyDescent="0.2">
      <c r="D292" s="4" t="s">
        <v>1700</v>
      </c>
      <c r="E292" s="4"/>
      <c r="F292" s="97">
        <f>$F$416</f>
        <v>0</v>
      </c>
      <c r="G292" s="97">
        <f>$F$417</f>
        <v>0</v>
      </c>
      <c r="H292" s="97">
        <f>$F$418</f>
        <v>0</v>
      </c>
      <c r="I292" s="97">
        <f>$F$419</f>
        <v>0</v>
      </c>
      <c r="J292" s="97">
        <f>$F$420</f>
        <v>0</v>
      </c>
      <c r="K292" s="97">
        <f>$F$421</f>
        <v>0</v>
      </c>
      <c r="L292" s="97">
        <f>$F$422</f>
        <v>0.32033493042371841</v>
      </c>
      <c r="M292" s="97">
        <f>$F$423</f>
        <v>2.3062947975232753</v>
      </c>
      <c r="N292" s="97">
        <f>$F$424</f>
        <v>4.6379687876862015</v>
      </c>
      <c r="O292" s="97">
        <f>$F$425</f>
        <v>4.7893623337952862</v>
      </c>
      <c r="P292" s="97">
        <f>SUM(F292:O292)</f>
        <v>12.053960849428481</v>
      </c>
    </row>
    <row r="293" spans="4:16" x14ac:dyDescent="0.2">
      <c r="D293" s="4" t="s">
        <v>1701</v>
      </c>
      <c r="E293" s="4"/>
      <c r="F293" s="97">
        <f>$F$426</f>
        <v>79.710756160917683</v>
      </c>
      <c r="G293" s="97">
        <f>$F$427</f>
        <v>105.96184116050772</v>
      </c>
      <c r="H293" s="97">
        <f>$F$428</f>
        <v>123.24482669897955</v>
      </c>
      <c r="I293" s="97">
        <f>$F$429</f>
        <v>133.38266871063979</v>
      </c>
      <c r="J293" s="97">
        <f>$F$430</f>
        <v>129.70706732107197</v>
      </c>
      <c r="K293" s="97">
        <f>$F$431</f>
        <v>108.52182089455961</v>
      </c>
      <c r="L293" s="97">
        <f>$F$432</f>
        <v>79.370801782568833</v>
      </c>
      <c r="M293" s="97">
        <f>$F$433</f>
        <v>71.634792420301082</v>
      </c>
      <c r="N293" s="97">
        <f>$F$434</f>
        <v>62.956510351441594</v>
      </c>
      <c r="O293" s="97">
        <f>$F$435</f>
        <v>55.827376285315395</v>
      </c>
      <c r="P293" s="97">
        <f>SUM(F293:O293)</f>
        <v>950.31846178630315</v>
      </c>
    </row>
    <row r="294" spans="4:16" x14ac:dyDescent="0.2">
      <c r="D294" s="4" t="s">
        <v>1702</v>
      </c>
      <c r="E294" s="4"/>
      <c r="F294" s="97">
        <f>$F$436</f>
        <v>25.533941136200497</v>
      </c>
      <c r="G294" s="97">
        <f>$F$437</f>
        <v>25.156250393630856</v>
      </c>
      <c r="H294" s="97">
        <f>$F$438</f>
        <v>40.472495773744981</v>
      </c>
      <c r="I294" s="97">
        <f>$F$439</f>
        <v>50.060825220803565</v>
      </c>
      <c r="J294" s="97">
        <f>$F$440</f>
        <v>46.405827872686672</v>
      </c>
      <c r="K294" s="97">
        <f>$F$441</f>
        <v>25.536925099861264</v>
      </c>
      <c r="L294" s="97">
        <f>$F$442</f>
        <v>0</v>
      </c>
      <c r="M294" s="97">
        <f>$F$443</f>
        <v>0</v>
      </c>
      <c r="N294" s="97">
        <f>$F$444</f>
        <v>0</v>
      </c>
      <c r="O294" s="97">
        <f>$F$445</f>
        <v>0</v>
      </c>
      <c r="P294" s="97">
        <f>SUM(F294:O294)</f>
        <v>213.16626549692782</v>
      </c>
    </row>
    <row r="295" spans="4:16" x14ac:dyDescent="0.2">
      <c r="D295" s="4" t="s">
        <v>195</v>
      </c>
      <c r="E295" s="4"/>
      <c r="F295" s="102">
        <f>$F$446</f>
        <v>-8.7028245264210491E-2</v>
      </c>
      <c r="G295" s="102">
        <f>$F$447</f>
        <v>-0.27146915801855398</v>
      </c>
      <c r="H295" s="102">
        <f>$F$448</f>
        <v>-0.3946757505547201</v>
      </c>
      <c r="I295" s="102">
        <f>$F$449</f>
        <v>-0.44854137087777535</v>
      </c>
      <c r="J295" s="102">
        <f>$F$450</f>
        <v>-0.36149491016432395</v>
      </c>
      <c r="K295" s="102">
        <f>$F$451</f>
        <v>-8.1623875824931205E-2</v>
      </c>
      <c r="L295" s="102">
        <f>$F$452</f>
        <v>0.13397714245788017</v>
      </c>
      <c r="M295" s="102">
        <f>$F$453</f>
        <v>0.19294384360835992</v>
      </c>
      <c r="N295" s="102">
        <f>$F$454</f>
        <v>0.25308461109638675</v>
      </c>
      <c r="O295" s="102">
        <f>$F$455</f>
        <v>0.29894346108198233</v>
      </c>
      <c r="P295" s="4"/>
    </row>
    <row r="297" spans="4:16" x14ac:dyDescent="0.2">
      <c r="D297" s="94" t="s">
        <v>1137</v>
      </c>
      <c r="E297" s="94"/>
      <c r="F297" s="129" t="s">
        <v>1684</v>
      </c>
      <c r="G297" s="129" t="s">
        <v>1685</v>
      </c>
      <c r="H297" s="129" t="s">
        <v>1686</v>
      </c>
      <c r="I297" s="129" t="s">
        <v>1687</v>
      </c>
      <c r="J297" s="129" t="s">
        <v>1688</v>
      </c>
      <c r="K297" s="129" t="s">
        <v>1689</v>
      </c>
      <c r="L297" s="129" t="s">
        <v>1690</v>
      </c>
      <c r="M297" s="129" t="s">
        <v>1691</v>
      </c>
      <c r="N297" s="129" t="s">
        <v>1692</v>
      </c>
      <c r="O297" s="129" t="s">
        <v>1693</v>
      </c>
      <c r="P297" s="129" t="s">
        <v>1694</v>
      </c>
    </row>
    <row r="298" spans="4:16" x14ac:dyDescent="0.2">
      <c r="D298" s="4" t="s">
        <v>180</v>
      </c>
      <c r="E298" s="4"/>
      <c r="F298" s="97">
        <f>$G$316</f>
        <v>105.51684597136254</v>
      </c>
      <c r="G298" s="97">
        <f>$G$317</f>
        <v>128.25331228687463</v>
      </c>
      <c r="H298" s="97">
        <f>$G$318</f>
        <v>148.55139411725924</v>
      </c>
      <c r="I298" s="97">
        <f>$G$319</f>
        <v>166.58110822089708</v>
      </c>
      <c r="J298" s="97">
        <f>$G$320</f>
        <v>182.68760258367234</v>
      </c>
      <c r="K298" s="97">
        <f>$G$321</f>
        <v>197.26834577631888</v>
      </c>
      <c r="L298" s="97">
        <f>$G$322</f>
        <v>210.70656142450648</v>
      </c>
      <c r="M298" s="97">
        <f>$G$323</f>
        <v>223.34038338054629</v>
      </c>
      <c r="N298" s="97">
        <f>$G$324</f>
        <v>235.4529925721809</v>
      </c>
      <c r="O298" s="97">
        <f>$G$325</f>
        <v>247.27395704942376</v>
      </c>
      <c r="P298" s="97">
        <f t="shared" ref="P298:P303" si="7">SUM(F298:O298)</f>
        <v>1845.6325033830421</v>
      </c>
    </row>
    <row r="299" spans="4:16" x14ac:dyDescent="0.2">
      <c r="D299" s="4" t="s">
        <v>1695</v>
      </c>
      <c r="E299" s="4"/>
      <c r="F299" s="97">
        <f>$G$326</f>
        <v>37.32266666666667</v>
      </c>
      <c r="G299" s="97">
        <f>$G$327</f>
        <v>59.716266666666677</v>
      </c>
      <c r="H299" s="97">
        <f>$G$328</f>
        <v>63.306721622368748</v>
      </c>
      <c r="I299" s="97">
        <f>$G$329</f>
        <v>64.41839958212168</v>
      </c>
      <c r="J299" s="97">
        <f>$G$330</f>
        <v>63.439627179575417</v>
      </c>
      <c r="K299" s="97">
        <f>$G$331</f>
        <v>60.720369231897138</v>
      </c>
      <c r="L299" s="97">
        <f>$G$332</f>
        <v>56.544044959060479</v>
      </c>
      <c r="M299" s="97">
        <f>$G$333</f>
        <v>51.123277432229905</v>
      </c>
      <c r="N299" s="97">
        <f>$G$334</f>
        <v>44.606919277875384</v>
      </c>
      <c r="O299" s="97">
        <f>$G$335</f>
        <v>37.091093557413558</v>
      </c>
      <c r="P299" s="97">
        <f t="shared" si="7"/>
        <v>538.28938617587562</v>
      </c>
    </row>
    <row r="300" spans="4:16" x14ac:dyDescent="0.2">
      <c r="D300" s="4" t="s">
        <v>1524</v>
      </c>
      <c r="E300" s="4"/>
      <c r="F300" s="97">
        <f>$G$336</f>
        <v>37.32266666666667</v>
      </c>
      <c r="G300" s="97">
        <f>$G$337</f>
        <v>59.716266666666677</v>
      </c>
      <c r="H300" s="97">
        <f>$G$338</f>
        <v>63.306721622368748</v>
      </c>
      <c r="I300" s="97">
        <f>$G$339</f>
        <v>64.41839958212168</v>
      </c>
      <c r="J300" s="97">
        <f>$G$340</f>
        <v>63.439627179575417</v>
      </c>
      <c r="K300" s="97">
        <f>$G$341</f>
        <v>60.720369231897138</v>
      </c>
      <c r="L300" s="97">
        <f>$G$342</f>
        <v>52.856680134131615</v>
      </c>
      <c r="M300" s="97">
        <f>$G$343</f>
        <v>43.306364013910787</v>
      </c>
      <c r="N300" s="97">
        <f>$G$344</f>
        <v>32.245637167835902</v>
      </c>
      <c r="O300" s="97">
        <f>$G$345</f>
        <v>19.781916563953903</v>
      </c>
      <c r="P300" s="97">
        <f t="shared" si="7"/>
        <v>497.11464882912861</v>
      </c>
    </row>
    <row r="301" spans="4:16" x14ac:dyDescent="0.2">
      <c r="D301" s="4" t="s">
        <v>1525</v>
      </c>
      <c r="E301" s="4"/>
      <c r="F301" s="97">
        <f>$G$346</f>
        <v>0</v>
      </c>
      <c r="G301" s="97">
        <f>$G$347</f>
        <v>0</v>
      </c>
      <c r="H301" s="97">
        <f>$G$348</f>
        <v>0</v>
      </c>
      <c r="I301" s="97">
        <f>$G$349</f>
        <v>0</v>
      </c>
      <c r="J301" s="97">
        <f>$G$350</f>
        <v>0</v>
      </c>
      <c r="K301" s="97">
        <f>$G$351</f>
        <v>0</v>
      </c>
      <c r="L301" s="97">
        <f>$G$352</f>
        <v>3.6873648249288635</v>
      </c>
      <c r="M301" s="97">
        <f>$G$353</f>
        <v>7.8169134183191176</v>
      </c>
      <c r="N301" s="97">
        <f>$G$354</f>
        <v>12.361282110039483</v>
      </c>
      <c r="O301" s="97">
        <f>$G$355</f>
        <v>17.309176993459655</v>
      </c>
      <c r="P301" s="97">
        <f t="shared" si="7"/>
        <v>41.174737346747122</v>
      </c>
    </row>
    <row r="302" spans="4:16" x14ac:dyDescent="0.2">
      <c r="D302" s="4" t="s">
        <v>1696</v>
      </c>
      <c r="E302" s="4"/>
      <c r="F302" s="97">
        <f>$G$356</f>
        <v>0</v>
      </c>
      <c r="G302" s="97">
        <f>$G$357</f>
        <v>0</v>
      </c>
      <c r="H302" s="97">
        <f>$G$358</f>
        <v>0</v>
      </c>
      <c r="I302" s="97">
        <f>$G$359</f>
        <v>0</v>
      </c>
      <c r="J302" s="97">
        <f>$G$360</f>
        <v>0</v>
      </c>
      <c r="K302" s="97">
        <f>$G$361</f>
        <v>0</v>
      </c>
      <c r="L302" s="97">
        <f>$G$362</f>
        <v>3.6873648249288635</v>
      </c>
      <c r="M302" s="97">
        <f>$G$363</f>
        <v>7.8169134183191318</v>
      </c>
      <c r="N302" s="97">
        <f>$G$364</f>
        <v>12.361282110039468</v>
      </c>
      <c r="O302" s="97">
        <f>$G$365</f>
        <v>17.309176993459658</v>
      </c>
      <c r="P302" s="97">
        <f t="shared" si="7"/>
        <v>41.174737346747122</v>
      </c>
    </row>
    <row r="303" spans="4:16" x14ac:dyDescent="0.2">
      <c r="D303" s="4" t="s">
        <v>1697</v>
      </c>
      <c r="E303" s="4"/>
      <c r="F303" s="97">
        <f>$G$366</f>
        <v>0</v>
      </c>
      <c r="G303" s="97">
        <f>$G$367</f>
        <v>0</v>
      </c>
      <c r="H303" s="97">
        <f>$G$368</f>
        <v>0</v>
      </c>
      <c r="I303" s="97">
        <f>$G$369</f>
        <v>0</v>
      </c>
      <c r="J303" s="97">
        <f>$G$370</f>
        <v>0</v>
      </c>
      <c r="K303" s="97">
        <f>$G$371</f>
        <v>0</v>
      </c>
      <c r="L303" s="97">
        <f>$G$372</f>
        <v>0</v>
      </c>
      <c r="M303" s="97">
        <f>$G$373</f>
        <v>-1.4210854715202004E-14</v>
      </c>
      <c r="N303" s="97">
        <f>$G$374</f>
        <v>1.4210854715202004E-14</v>
      </c>
      <c r="O303" s="97">
        <f>$G$375</f>
        <v>0</v>
      </c>
      <c r="P303" s="97">
        <f t="shared" si="7"/>
        <v>0</v>
      </c>
    </row>
    <row r="304" spans="4:16" x14ac:dyDescent="0.2">
      <c r="D304" s="4" t="s">
        <v>184</v>
      </c>
      <c r="E304" s="4"/>
      <c r="F304" s="97">
        <f>$G$376</f>
        <v>79.710756160917683</v>
      </c>
      <c r="G304" s="97">
        <f>$G$377</f>
        <v>105.96184116050772</v>
      </c>
      <c r="H304" s="97">
        <f>$G$378</f>
        <v>123.24482669897955</v>
      </c>
      <c r="I304" s="97">
        <f>$G$379</f>
        <v>133.38266871063979</v>
      </c>
      <c r="J304" s="97">
        <f>$G$380</f>
        <v>129.70706732107197</v>
      </c>
      <c r="K304" s="97">
        <f>$G$381</f>
        <v>108.52182089455961</v>
      </c>
      <c r="L304" s="97">
        <f>$G$382</f>
        <v>74.565777826213051</v>
      </c>
      <c r="M304" s="97">
        <f>$G$383</f>
        <v>55.490728837638159</v>
      </c>
      <c r="N304" s="97">
        <f>$G$384</f>
        <v>30.490728837638187</v>
      </c>
      <c r="O304" s="97">
        <f>$G$385</f>
        <v>22.301839948748395</v>
      </c>
      <c r="P304" s="4"/>
    </row>
    <row r="305" spans="4:16" x14ac:dyDescent="0.2">
      <c r="D305" s="4" t="s">
        <v>1698</v>
      </c>
      <c r="E305" s="4"/>
      <c r="F305" s="97">
        <f>$G$386</f>
        <v>0</v>
      </c>
      <c r="G305" s="97">
        <f>$G$387</f>
        <v>0</v>
      </c>
      <c r="H305" s="97">
        <f>$G$388</f>
        <v>0</v>
      </c>
      <c r="I305" s="97">
        <f>$G$389</f>
        <v>0</v>
      </c>
      <c r="J305" s="97">
        <f>$G$390</f>
        <v>0</v>
      </c>
      <c r="K305" s="97">
        <f>$G$391</f>
        <v>21.057607690058475</v>
      </c>
      <c r="L305" s="97">
        <f>$G$392</f>
        <v>53.004968757063565</v>
      </c>
      <c r="M305" s="97">
        <f>$G$393</f>
        <v>68.055692343583104</v>
      </c>
      <c r="N305" s="97">
        <f>$G$394</f>
        <v>87.278467578103431</v>
      </c>
      <c r="O305" s="97">
        <f>$G$395</f>
        <v>88.121245227862559</v>
      </c>
      <c r="P305" s="97">
        <f>SUM(F305:O305)</f>
        <v>317.51798159667112</v>
      </c>
    </row>
    <row r="306" spans="4:16" x14ac:dyDescent="0.2">
      <c r="D306" s="4" t="s">
        <v>1699</v>
      </c>
      <c r="E306" s="4"/>
      <c r="F306" s="102">
        <f>$G$396</f>
        <v>0</v>
      </c>
      <c r="G306" s="102">
        <f>$G$397</f>
        <v>0</v>
      </c>
      <c r="H306" s="102">
        <f>$G$398</f>
        <v>0</v>
      </c>
      <c r="I306" s="102">
        <f>$G$399</f>
        <v>0</v>
      </c>
      <c r="J306" s="102">
        <f>$G$400</f>
        <v>0</v>
      </c>
      <c r="K306" s="102">
        <f>$G$401</f>
        <v>0</v>
      </c>
      <c r="L306" s="102">
        <f>$G$402</f>
        <v>0</v>
      </c>
      <c r="M306" s="102">
        <f>$G$403</f>
        <v>0</v>
      </c>
      <c r="N306" s="102">
        <f>$G$404</f>
        <v>0</v>
      </c>
      <c r="O306" s="102">
        <f>$G$405</f>
        <v>0</v>
      </c>
      <c r="P306" s="4"/>
    </row>
    <row r="307" spans="4:16" x14ac:dyDescent="0.2">
      <c r="D307" s="4" t="s">
        <v>1532</v>
      </c>
      <c r="E307" s="4"/>
      <c r="F307" s="97">
        <f>$G$406</f>
        <v>0</v>
      </c>
      <c r="G307" s="97">
        <f>$G$407</f>
        <v>0</v>
      </c>
      <c r="H307" s="97">
        <f>$G$408</f>
        <v>0</v>
      </c>
      <c r="I307" s="97">
        <f>$G$409</f>
        <v>0</v>
      </c>
      <c r="J307" s="97">
        <f>$G$410</f>
        <v>0</v>
      </c>
      <c r="K307" s="97">
        <f>$G$411</f>
        <v>0</v>
      </c>
      <c r="L307" s="97">
        <f>$G$412</f>
        <v>0</v>
      </c>
      <c r="M307" s="97">
        <f>$G$413</f>
        <v>0</v>
      </c>
      <c r="N307" s="97">
        <f>$G$414</f>
        <v>0</v>
      </c>
      <c r="O307" s="97">
        <f>$G$415</f>
        <v>0</v>
      </c>
      <c r="P307" s="97">
        <f>SUM(F307:O307)</f>
        <v>0</v>
      </c>
    </row>
    <row r="308" spans="4:16" x14ac:dyDescent="0.2">
      <c r="D308" s="4" t="s">
        <v>1700</v>
      </c>
      <c r="E308" s="4"/>
      <c r="F308" s="97">
        <f>$G$416</f>
        <v>0</v>
      </c>
      <c r="G308" s="97">
        <f>$G$417</f>
        <v>0</v>
      </c>
      <c r="H308" s="97">
        <f>$G$418</f>
        <v>0</v>
      </c>
      <c r="I308" s="97">
        <f>$G$419</f>
        <v>0</v>
      </c>
      <c r="J308" s="97">
        <f>$G$420</f>
        <v>0</v>
      </c>
      <c r="K308" s="97">
        <f>$G$421</f>
        <v>0</v>
      </c>
      <c r="L308" s="97">
        <f>$G$422</f>
        <v>0</v>
      </c>
      <c r="M308" s="97">
        <f>$G$423</f>
        <v>0</v>
      </c>
      <c r="N308" s="97">
        <f>$G$424</f>
        <v>0</v>
      </c>
      <c r="O308" s="97">
        <f>$G$425</f>
        <v>0</v>
      </c>
      <c r="P308" s="97">
        <f>SUM(F308:O308)</f>
        <v>0</v>
      </c>
    </row>
    <row r="309" spans="4:16" x14ac:dyDescent="0.2">
      <c r="D309" s="4" t="s">
        <v>1701</v>
      </c>
      <c r="E309" s="4"/>
      <c r="F309" s="97">
        <f>$G$426</f>
        <v>79.710756160917683</v>
      </c>
      <c r="G309" s="97">
        <f>$G$427</f>
        <v>105.96184116050772</v>
      </c>
      <c r="H309" s="97">
        <f>$G$428</f>
        <v>123.24482669897955</v>
      </c>
      <c r="I309" s="97">
        <f>$G$429</f>
        <v>133.38266871063979</v>
      </c>
      <c r="J309" s="97">
        <f>$G$430</f>
        <v>129.70706732107197</v>
      </c>
      <c r="K309" s="97">
        <f>$G$431</f>
        <v>129.57942858461809</v>
      </c>
      <c r="L309" s="97">
        <f>$G$432</f>
        <v>127.57074658327662</v>
      </c>
      <c r="M309" s="97">
        <f>$G$433</f>
        <v>123.54642118122126</v>
      </c>
      <c r="N309" s="97">
        <f>$G$434</f>
        <v>117.76919641574162</v>
      </c>
      <c r="O309" s="97">
        <f>$G$435</f>
        <v>110.42308517661095</v>
      </c>
      <c r="P309" s="97">
        <f>SUM(F309:O309)</f>
        <v>1180.8960379935854</v>
      </c>
    </row>
    <row r="310" spans="4:16" x14ac:dyDescent="0.2">
      <c r="D310" s="4" t="s">
        <v>1702</v>
      </c>
      <c r="E310" s="4"/>
      <c r="F310" s="97">
        <f>$G$436</f>
        <v>24.423297436983148</v>
      </c>
      <c r="G310" s="97">
        <f>$G$437</f>
        <v>20.476685140648996</v>
      </c>
      <c r="H310" s="97">
        <f>$G$438</f>
        <v>25.062302438101995</v>
      </c>
      <c r="I310" s="97">
        <f>$G$439</f>
        <v>23.800586974103595</v>
      </c>
      <c r="J310" s="97">
        <f>$G$440</f>
        <v>9.7477147767355632</v>
      </c>
      <c r="K310" s="97">
        <f>$G$441</f>
        <v>0</v>
      </c>
      <c r="L310" s="97">
        <f>$G$442</f>
        <v>0</v>
      </c>
      <c r="M310" s="97">
        <f>$G$443</f>
        <v>0</v>
      </c>
      <c r="N310" s="97">
        <f>$G$444</f>
        <v>0</v>
      </c>
      <c r="O310" s="97">
        <f>$G$445</f>
        <v>0</v>
      </c>
      <c r="P310" s="97">
        <f>SUM(F310:O310)</f>
        <v>103.5105867665733</v>
      </c>
    </row>
    <row r="311" spans="4:16" x14ac:dyDescent="0.2">
      <c r="D311" s="4" t="s">
        <v>195</v>
      </c>
      <c r="E311" s="4"/>
      <c r="F311" s="102">
        <f>$G$446</f>
        <v>-8.2816775176232982E-2</v>
      </c>
      <c r="G311" s="102">
        <f>$G$447</f>
        <v>-0.19054212740556858</v>
      </c>
      <c r="H311" s="102">
        <f>$G$448</f>
        <v>-0.22651342914349815</v>
      </c>
      <c r="I311" s="102">
        <f>$G$449</f>
        <v>-0.2172920553266274</v>
      </c>
      <c r="J311" s="102">
        <f>$G$450</f>
        <v>-0.11982025323298591</v>
      </c>
      <c r="K311" s="102">
        <f>$G$451</f>
        <v>-1.0776817336650792E-2</v>
      </c>
      <c r="L311" s="102">
        <f>$G$452</f>
        <v>3.9919259345258119E-2</v>
      </c>
      <c r="M311" s="102">
        <f>$G$453</f>
        <v>9.1648923413774522E-2</v>
      </c>
      <c r="N311" s="102">
        <f>$G$454</f>
        <v>0.14424083094718818</v>
      </c>
      <c r="O311" s="102">
        <f>$G$455</f>
        <v>0.19755546544338135</v>
      </c>
      <c r="P311" s="4"/>
    </row>
    <row r="314" spans="4:16" x14ac:dyDescent="0.2">
      <c r="D314" s="11" t="s">
        <v>1548</v>
      </c>
    </row>
    <row r="315" spans="4:16" x14ac:dyDescent="0.2">
      <c r="D315" s="4" t="s">
        <v>1544</v>
      </c>
      <c r="E315" s="4"/>
      <c r="F315" s="4">
        <v>1</v>
      </c>
      <c r="G315" s="4">
        <v>4</v>
      </c>
    </row>
    <row r="316" spans="4:16" x14ac:dyDescent="0.2">
      <c r="D316" s="4" t="s">
        <v>906</v>
      </c>
      <c r="E316" s="97">
        <f>Model!$H$35</f>
        <v>127.82748148511058</v>
      </c>
      <c r="F316" s="97">
        <f t="dataTable" ref="F316:G455" dt2D="0" dtr="1" r1="E7" ca="1"/>
        <v>104.14710969778609</v>
      </c>
      <c r="G316" s="97">
        <v>105.51684597136254</v>
      </c>
    </row>
    <row r="317" spans="4:16" x14ac:dyDescent="0.2">
      <c r="D317" s="4" t="s">
        <v>1549</v>
      </c>
      <c r="E317" s="97">
        <f>Model!$I$35</f>
        <v>194.85302775523087</v>
      </c>
      <c r="F317" s="97">
        <v>116.65676543060052</v>
      </c>
      <c r="G317" s="97">
        <v>128.25331228687463</v>
      </c>
    </row>
    <row r="318" spans="4:16" x14ac:dyDescent="0.2">
      <c r="D318" s="4" t="s">
        <v>1550</v>
      </c>
      <c r="E318" s="97">
        <f>Model!$J$35</f>
        <v>266.16307794901098</v>
      </c>
      <c r="F318" s="97">
        <v>124.21333722450873</v>
      </c>
      <c r="G318" s="97">
        <v>148.55139411725924</v>
      </c>
    </row>
    <row r="319" spans="4:16" x14ac:dyDescent="0.2">
      <c r="D319" s="4" t="s">
        <v>1551</v>
      </c>
      <c r="E319" s="97">
        <f>Model!$K$35</f>
        <v>338.68595742743315</v>
      </c>
      <c r="F319" s="97">
        <v>130.18920218280959</v>
      </c>
      <c r="G319" s="97">
        <v>166.58110822089708</v>
      </c>
    </row>
    <row r="320" spans="4:16" x14ac:dyDescent="0.2">
      <c r="D320" s="4" t="s">
        <v>9</v>
      </c>
      <c r="E320" s="97">
        <f>Model!$L$35</f>
        <v>410.53137216965064</v>
      </c>
      <c r="F320" s="97">
        <v>135.75781823223124</v>
      </c>
      <c r="G320" s="97">
        <v>182.68760258367234</v>
      </c>
    </row>
    <row r="321" spans="4:7" x14ac:dyDescent="0.2">
      <c r="D321" s="4" t="s">
        <v>1552</v>
      </c>
      <c r="E321" s="97">
        <f>Model!$M$35</f>
        <v>480.62472019176096</v>
      </c>
      <c r="F321" s="97">
        <v>141.32796803613454</v>
      </c>
      <c r="G321" s="97">
        <v>197.26834577631888</v>
      </c>
    </row>
    <row r="322" spans="4:7" x14ac:dyDescent="0.2">
      <c r="D322" s="4" t="s">
        <v>1553</v>
      </c>
      <c r="E322" s="97">
        <f>Model!$N$35</f>
        <v>548.44468704092708</v>
      </c>
      <c r="F322" s="97">
        <v>147.04565163321286</v>
      </c>
      <c r="G322" s="97">
        <v>210.70656142450648</v>
      </c>
    </row>
    <row r="323" spans="4:7" x14ac:dyDescent="0.2">
      <c r="D323" s="4" t="s">
        <v>1554</v>
      </c>
      <c r="E323" s="97">
        <f>Model!$O$35</f>
        <v>613.83661232259612</v>
      </c>
      <c r="F323" s="97">
        <v>152.96687898069166</v>
      </c>
      <c r="G323" s="97">
        <v>223.34038338054629</v>
      </c>
    </row>
    <row r="324" spans="4:7" x14ac:dyDescent="0.2">
      <c r="D324" s="4" t="s">
        <v>1555</v>
      </c>
      <c r="E324" s="97">
        <f>Model!$P$35</f>
        <v>676.88118131336648</v>
      </c>
      <c r="F324" s="97">
        <v>159.11701352443609</v>
      </c>
      <c r="G324" s="97">
        <v>235.4529925721809</v>
      </c>
    </row>
    <row r="325" spans="4:7" x14ac:dyDescent="0.2">
      <c r="D325" s="4" t="s">
        <v>11</v>
      </c>
      <c r="E325" s="97">
        <f>Model!$Q$35</f>
        <v>737.80325502079654</v>
      </c>
      <c r="F325" s="97">
        <v>165.51114894402144</v>
      </c>
      <c r="G325" s="97">
        <v>247.27395704942376</v>
      </c>
    </row>
    <row r="326" spans="4:7" x14ac:dyDescent="0.2">
      <c r="D326" s="4" t="s">
        <v>1556</v>
      </c>
      <c r="E326" s="97">
        <f>Model!$H$164</f>
        <v>37.32266666666667</v>
      </c>
      <c r="F326" s="97">
        <v>37.32266666666667</v>
      </c>
      <c r="G326" s="97">
        <v>37.32266666666667</v>
      </c>
    </row>
    <row r="327" spans="4:7" x14ac:dyDescent="0.2">
      <c r="D327" s="4" t="s">
        <v>1557</v>
      </c>
      <c r="E327" s="97">
        <f>Model!$I$164</f>
        <v>59.716266666666677</v>
      </c>
      <c r="F327" s="97">
        <v>59.716266666666677</v>
      </c>
      <c r="G327" s="97">
        <v>59.716266666666677</v>
      </c>
    </row>
    <row r="328" spans="4:7" x14ac:dyDescent="0.2">
      <c r="D328" s="4" t="s">
        <v>1558</v>
      </c>
      <c r="E328" s="97">
        <f>Model!$J$164</f>
        <v>78.028293363987459</v>
      </c>
      <c r="F328" s="97">
        <v>57.965397577565277</v>
      </c>
      <c r="G328" s="97">
        <v>63.306721622368748</v>
      </c>
    </row>
    <row r="329" spans="4:7" x14ac:dyDescent="0.2">
      <c r="D329" s="4" t="s">
        <v>1559</v>
      </c>
      <c r="E329" s="97">
        <f>Model!$K$164</f>
        <v>94.78166769283817</v>
      </c>
      <c r="F329" s="97">
        <v>54.86470701592873</v>
      </c>
      <c r="G329" s="97">
        <v>64.41839958212168</v>
      </c>
    </row>
    <row r="330" spans="4:7" x14ac:dyDescent="0.2">
      <c r="D330" s="4" t="s">
        <v>1560</v>
      </c>
      <c r="E330" s="97">
        <f>Model!$L$164</f>
        <v>109.42412273245886</v>
      </c>
      <c r="F330" s="97">
        <v>51.070153092789589</v>
      </c>
      <c r="G330" s="97">
        <v>63.439627179575417</v>
      </c>
    </row>
    <row r="331" spans="4:7" x14ac:dyDescent="0.2">
      <c r="D331" s="4" t="s">
        <v>1561</v>
      </c>
      <c r="E331" s="97">
        <f>Model!$M$164</f>
        <v>121.71058077121667</v>
      </c>
      <c r="F331" s="97">
        <v>46.772290183170362</v>
      </c>
      <c r="G331" s="97">
        <v>60.720369231897138</v>
      </c>
    </row>
    <row r="332" spans="4:7" x14ac:dyDescent="0.2">
      <c r="D332" s="4" t="s">
        <v>1562</v>
      </c>
      <c r="E332" s="97">
        <f>Model!$N$164</f>
        <v>131.58591743415047</v>
      </c>
      <c r="F332" s="97">
        <v>42.012624019497508</v>
      </c>
      <c r="G332" s="97">
        <v>56.544044959060479</v>
      </c>
    </row>
    <row r="333" spans="4:7" x14ac:dyDescent="0.2">
      <c r="D333" s="4" t="s">
        <v>1563</v>
      </c>
      <c r="E333" s="97">
        <f>Model!$O$164</f>
        <v>139.10585013112774</v>
      </c>
      <c r="F333" s="97">
        <v>36.784601533774236</v>
      </c>
      <c r="G333" s="97">
        <v>51.123277432229905</v>
      </c>
    </row>
    <row r="334" spans="4:7" x14ac:dyDescent="0.2">
      <c r="D334" s="4" t="s">
        <v>1564</v>
      </c>
      <c r="E334" s="97">
        <f>Model!$P$164</f>
        <v>144.38453072237476</v>
      </c>
      <c r="F334" s="97">
        <v>31.065551398464564</v>
      </c>
      <c r="G334" s="97">
        <v>44.606919277875384</v>
      </c>
    </row>
    <row r="335" spans="4:7" x14ac:dyDescent="0.2">
      <c r="D335" s="4" t="s">
        <v>1565</v>
      </c>
      <c r="E335" s="97">
        <f>Model!$Q$164</f>
        <v>147.56065100415933</v>
      </c>
      <c r="F335" s="97">
        <v>24.826672341603221</v>
      </c>
      <c r="G335" s="97">
        <v>37.091093557413558</v>
      </c>
    </row>
    <row r="336" spans="4:7" x14ac:dyDescent="0.2">
      <c r="D336" s="4" t="s">
        <v>1566</v>
      </c>
      <c r="E336" s="97">
        <f>Model!$H$165</f>
        <v>37.32266666666667</v>
      </c>
      <c r="F336" s="97">
        <v>37.32266666666667</v>
      </c>
      <c r="G336" s="97">
        <v>37.32266666666667</v>
      </c>
    </row>
    <row r="337" spans="4:7" x14ac:dyDescent="0.2">
      <c r="D337" s="4" t="s">
        <v>1567</v>
      </c>
      <c r="E337" s="97">
        <f>Model!$I$165</f>
        <v>59.716266666666677</v>
      </c>
      <c r="F337" s="97">
        <v>59.716266666666677</v>
      </c>
      <c r="G337" s="97">
        <v>59.716266666666677</v>
      </c>
    </row>
    <row r="338" spans="4:7" x14ac:dyDescent="0.2">
      <c r="D338" s="4" t="s">
        <v>1568</v>
      </c>
      <c r="E338" s="97">
        <f>Model!$J$165</f>
        <v>78.028293363987459</v>
      </c>
      <c r="F338" s="97">
        <v>57.965397577565277</v>
      </c>
      <c r="G338" s="97">
        <v>63.306721622368748</v>
      </c>
    </row>
    <row r="339" spans="4:7" x14ac:dyDescent="0.2">
      <c r="D339" s="4" t="s">
        <v>1569</v>
      </c>
      <c r="E339" s="97">
        <f>Model!$K$165</f>
        <v>94.78166769283817</v>
      </c>
      <c r="F339" s="97">
        <v>54.86470701592873</v>
      </c>
      <c r="G339" s="97">
        <v>64.41839958212168</v>
      </c>
    </row>
    <row r="340" spans="4:7" x14ac:dyDescent="0.2">
      <c r="D340" s="4" t="s">
        <v>1570</v>
      </c>
      <c r="E340" s="97">
        <f>Model!$L$165</f>
        <v>109.42412273245886</v>
      </c>
      <c r="F340" s="97">
        <v>51.070153092789589</v>
      </c>
      <c r="G340" s="97">
        <v>63.439627179575417</v>
      </c>
    </row>
    <row r="341" spans="4:7" x14ac:dyDescent="0.2">
      <c r="D341" s="4" t="s">
        <v>1571</v>
      </c>
      <c r="E341" s="97">
        <f>Model!$M$165</f>
        <v>121.71058077121667</v>
      </c>
      <c r="F341" s="97">
        <v>46.772290183170362</v>
      </c>
      <c r="G341" s="97">
        <v>60.720369231897138</v>
      </c>
    </row>
    <row r="342" spans="4:7" x14ac:dyDescent="0.2">
      <c r="D342" s="4" t="s">
        <v>1572</v>
      </c>
      <c r="E342" s="97">
        <f>Model!$N$165</f>
        <v>131.58591743415047</v>
      </c>
      <c r="F342" s="97">
        <v>42.012624019497508</v>
      </c>
      <c r="G342" s="97">
        <v>52.856680134131615</v>
      </c>
    </row>
    <row r="343" spans="4:7" x14ac:dyDescent="0.2">
      <c r="D343" s="4" t="s">
        <v>1573</v>
      </c>
      <c r="E343" s="97">
        <f>Model!$O$165</f>
        <v>139.10585013112774</v>
      </c>
      <c r="F343" s="97">
        <v>34.745043147365017</v>
      </c>
      <c r="G343" s="97">
        <v>43.306364013910787</v>
      </c>
    </row>
    <row r="344" spans="4:7" x14ac:dyDescent="0.2">
      <c r="D344" s="4" t="s">
        <v>1574</v>
      </c>
      <c r="E344" s="97">
        <f>Model!$P$165</f>
        <v>144.38453072237476</v>
      </c>
      <c r="F344" s="97">
        <v>26.822431037812933</v>
      </c>
      <c r="G344" s="97">
        <v>32.245637167835902</v>
      </c>
    </row>
    <row r="345" spans="4:7" x14ac:dyDescent="0.2">
      <c r="D345" s="4" t="s">
        <v>1575</v>
      </c>
      <c r="E345" s="97">
        <f>Model!$Q$165</f>
        <v>147.56065100415933</v>
      </c>
      <c r="F345" s="97">
        <v>18.206226383842356</v>
      </c>
      <c r="G345" s="97">
        <v>19.781916563953903</v>
      </c>
    </row>
    <row r="346" spans="4:7" x14ac:dyDescent="0.2">
      <c r="D346" s="4" t="s">
        <v>1576</v>
      </c>
      <c r="E346" s="97">
        <f>Model!$H$166</f>
        <v>0</v>
      </c>
      <c r="F346" s="97">
        <v>0</v>
      </c>
      <c r="G346" s="97">
        <v>0</v>
      </c>
    </row>
    <row r="347" spans="4:7" x14ac:dyDescent="0.2">
      <c r="D347" s="4" t="s">
        <v>1577</v>
      </c>
      <c r="E347" s="97">
        <f>Model!$I$166</f>
        <v>0</v>
      </c>
      <c r="F347" s="97">
        <v>0</v>
      </c>
      <c r="G347" s="97">
        <v>0</v>
      </c>
    </row>
    <row r="348" spans="4:7" x14ac:dyDescent="0.2">
      <c r="D348" s="4" t="s">
        <v>1578</v>
      </c>
      <c r="E348" s="97">
        <f>Model!$J$166</f>
        <v>0</v>
      </c>
      <c r="F348" s="97">
        <v>0</v>
      </c>
      <c r="G348" s="97">
        <v>0</v>
      </c>
    </row>
    <row r="349" spans="4:7" x14ac:dyDescent="0.2">
      <c r="D349" s="4" t="s">
        <v>1579</v>
      </c>
      <c r="E349" s="97">
        <f>Model!$K$166</f>
        <v>0</v>
      </c>
      <c r="F349" s="97">
        <v>0</v>
      </c>
      <c r="G349" s="97">
        <v>0</v>
      </c>
    </row>
    <row r="350" spans="4:7" x14ac:dyDescent="0.2">
      <c r="D350" s="4" t="s">
        <v>1580</v>
      </c>
      <c r="E350" s="97">
        <f>Model!$L$166</f>
        <v>0</v>
      </c>
      <c r="F350" s="97">
        <v>0</v>
      </c>
      <c r="G350" s="97">
        <v>0</v>
      </c>
    </row>
    <row r="351" spans="4:7" x14ac:dyDescent="0.2">
      <c r="D351" s="4" t="s">
        <v>1581</v>
      </c>
      <c r="E351" s="97">
        <f>Model!$M$166</f>
        <v>0</v>
      </c>
      <c r="F351" s="97">
        <v>0</v>
      </c>
      <c r="G351" s="97">
        <v>0</v>
      </c>
    </row>
    <row r="352" spans="4:7" x14ac:dyDescent="0.2">
      <c r="D352" s="4" t="s">
        <v>1582</v>
      </c>
      <c r="E352" s="97">
        <f>Model!$N$166</f>
        <v>0</v>
      </c>
      <c r="F352" s="97">
        <v>0</v>
      </c>
      <c r="G352" s="97">
        <v>3.6873648249288635</v>
      </c>
    </row>
    <row r="353" spans="4:7" x14ac:dyDescent="0.2">
      <c r="D353" s="4" t="s">
        <v>1583</v>
      </c>
      <c r="E353" s="97">
        <f>Model!$O$166</f>
        <v>0</v>
      </c>
      <c r="F353" s="97">
        <v>2.0395583864092188</v>
      </c>
      <c r="G353" s="97">
        <v>7.8169134183191176</v>
      </c>
    </row>
    <row r="354" spans="4:7" x14ac:dyDescent="0.2">
      <c r="D354" s="4" t="s">
        <v>1584</v>
      </c>
      <c r="E354" s="97">
        <f>Model!$P$166</f>
        <v>0</v>
      </c>
      <c r="F354" s="97">
        <v>4.2431203606516306</v>
      </c>
      <c r="G354" s="97">
        <v>12.361282110039483</v>
      </c>
    </row>
    <row r="355" spans="4:7" x14ac:dyDescent="0.2">
      <c r="D355" s="4" t="s">
        <v>1585</v>
      </c>
      <c r="E355" s="97">
        <f>Model!$Q$166</f>
        <v>0</v>
      </c>
      <c r="F355" s="97">
        <v>6.6204459577608645</v>
      </c>
      <c r="G355" s="97">
        <v>17.309176993459655</v>
      </c>
    </row>
    <row r="356" spans="4:7" x14ac:dyDescent="0.2">
      <c r="D356" s="4" t="s">
        <v>1586</v>
      </c>
      <c r="E356" s="97">
        <f>Model!$H$168</f>
        <v>0</v>
      </c>
      <c r="F356" s="97">
        <v>0</v>
      </c>
      <c r="G356" s="97">
        <v>0</v>
      </c>
    </row>
    <row r="357" spans="4:7" x14ac:dyDescent="0.2">
      <c r="D357" s="4" t="s">
        <v>1587</v>
      </c>
      <c r="E357" s="97">
        <f>Model!$I$168</f>
        <v>0</v>
      </c>
      <c r="F357" s="97">
        <v>0</v>
      </c>
      <c r="G357" s="97">
        <v>0</v>
      </c>
    </row>
    <row r="358" spans="4:7" x14ac:dyDescent="0.2">
      <c r="D358" s="4" t="s">
        <v>1588</v>
      </c>
      <c r="E358" s="97">
        <f>Model!$J$168</f>
        <v>0</v>
      </c>
      <c r="F358" s="97">
        <v>0</v>
      </c>
      <c r="G358" s="97">
        <v>0</v>
      </c>
    </row>
    <row r="359" spans="4:7" x14ac:dyDescent="0.2">
      <c r="D359" s="4" t="s">
        <v>1589</v>
      </c>
      <c r="E359" s="97">
        <f>Model!$K$168</f>
        <v>0</v>
      </c>
      <c r="F359" s="97">
        <v>0</v>
      </c>
      <c r="G359" s="97">
        <v>0</v>
      </c>
    </row>
    <row r="360" spans="4:7" x14ac:dyDescent="0.2">
      <c r="D360" s="4" t="s">
        <v>1590</v>
      </c>
      <c r="E360" s="97">
        <f>Model!$L$168</f>
        <v>0</v>
      </c>
      <c r="F360" s="97">
        <v>0</v>
      </c>
      <c r="G360" s="97">
        <v>0</v>
      </c>
    </row>
    <row r="361" spans="4:7" x14ac:dyDescent="0.2">
      <c r="D361" s="4" t="s">
        <v>1591</v>
      </c>
      <c r="E361" s="97">
        <f>Model!$M$168</f>
        <v>0</v>
      </c>
      <c r="F361" s="97">
        <v>0</v>
      </c>
      <c r="G361" s="97">
        <v>0</v>
      </c>
    </row>
    <row r="362" spans="4:7" x14ac:dyDescent="0.2">
      <c r="D362" s="4" t="s">
        <v>1592</v>
      </c>
      <c r="E362" s="97">
        <f>Model!$N$168</f>
        <v>0</v>
      </c>
      <c r="F362" s="97">
        <v>0</v>
      </c>
      <c r="G362" s="97">
        <v>3.6873648249288635</v>
      </c>
    </row>
    <row r="363" spans="4:7" x14ac:dyDescent="0.2">
      <c r="D363" s="4" t="s">
        <v>1593</v>
      </c>
      <c r="E363" s="97">
        <f>Model!$O$168</f>
        <v>0</v>
      </c>
      <c r="F363" s="97">
        <v>2.0395583864092259</v>
      </c>
      <c r="G363" s="97">
        <v>7.8169134183191318</v>
      </c>
    </row>
    <row r="364" spans="4:7" x14ac:dyDescent="0.2">
      <c r="D364" s="4" t="s">
        <v>1594</v>
      </c>
      <c r="E364" s="97">
        <f>Model!$P$168</f>
        <v>0</v>
      </c>
      <c r="F364" s="97">
        <v>4.2431203606516306</v>
      </c>
      <c r="G364" s="97">
        <v>12.361282110039468</v>
      </c>
    </row>
    <row r="365" spans="4:7" x14ac:dyDescent="0.2">
      <c r="D365" s="4" t="s">
        <v>1595</v>
      </c>
      <c r="E365" s="97">
        <f>Model!$Q$168</f>
        <v>0</v>
      </c>
      <c r="F365" s="97">
        <v>6.6204459577608716</v>
      </c>
      <c r="G365" s="97">
        <v>17.309176993459658</v>
      </c>
    </row>
    <row r="366" spans="4:7" x14ac:dyDescent="0.2">
      <c r="D366" s="4" t="s">
        <v>1596</v>
      </c>
      <c r="E366" s="97">
        <f>Model!$H$169</f>
        <v>0</v>
      </c>
      <c r="F366" s="97">
        <v>0</v>
      </c>
      <c r="G366" s="97">
        <v>0</v>
      </c>
    </row>
    <row r="367" spans="4:7" x14ac:dyDescent="0.2">
      <c r="D367" s="4" t="s">
        <v>1597</v>
      </c>
      <c r="E367" s="97">
        <f>Model!$I$169</f>
        <v>0</v>
      </c>
      <c r="F367" s="97">
        <v>0</v>
      </c>
      <c r="G367" s="97">
        <v>0</v>
      </c>
    </row>
    <row r="368" spans="4:7" x14ac:dyDescent="0.2">
      <c r="D368" s="4" t="s">
        <v>1598</v>
      </c>
      <c r="E368" s="97">
        <f>Model!$J$169</f>
        <v>0</v>
      </c>
      <c r="F368" s="97">
        <v>0</v>
      </c>
      <c r="G368" s="97">
        <v>0</v>
      </c>
    </row>
    <row r="369" spans="4:7" x14ac:dyDescent="0.2">
      <c r="D369" s="4" t="s">
        <v>1599</v>
      </c>
      <c r="E369" s="97">
        <f>Model!$K$169</f>
        <v>0</v>
      </c>
      <c r="F369" s="97">
        <v>0</v>
      </c>
      <c r="G369" s="97">
        <v>0</v>
      </c>
    </row>
    <row r="370" spans="4:7" x14ac:dyDescent="0.2">
      <c r="D370" s="4" t="s">
        <v>1600</v>
      </c>
      <c r="E370" s="97">
        <f>Model!$L$169</f>
        <v>0</v>
      </c>
      <c r="F370" s="97">
        <v>0</v>
      </c>
      <c r="G370" s="97">
        <v>0</v>
      </c>
    </row>
    <row r="371" spans="4:7" x14ac:dyDescent="0.2">
      <c r="D371" s="4" t="s">
        <v>1601</v>
      </c>
      <c r="E371" s="97">
        <f>Model!$M$169</f>
        <v>0</v>
      </c>
      <c r="F371" s="97">
        <v>0</v>
      </c>
      <c r="G371" s="97">
        <v>0</v>
      </c>
    </row>
    <row r="372" spans="4:7" x14ac:dyDescent="0.2">
      <c r="D372" s="4" t="s">
        <v>1602</v>
      </c>
      <c r="E372" s="97">
        <f>Model!$N$169</f>
        <v>0</v>
      </c>
      <c r="F372" s="97">
        <v>0</v>
      </c>
      <c r="G372" s="97">
        <v>0</v>
      </c>
    </row>
    <row r="373" spans="4:7" x14ac:dyDescent="0.2">
      <c r="D373" s="4" t="s">
        <v>1603</v>
      </c>
      <c r="E373" s="97">
        <f>Model!$O$169</f>
        <v>0</v>
      </c>
      <c r="F373" s="97">
        <v>-7.1054273576010019E-15</v>
      </c>
      <c r="G373" s="97">
        <v>-1.4210854715202004E-14</v>
      </c>
    </row>
    <row r="374" spans="4:7" x14ac:dyDescent="0.2">
      <c r="D374" s="4" t="s">
        <v>1604</v>
      </c>
      <c r="E374" s="97">
        <f>Model!$P$169</f>
        <v>0</v>
      </c>
      <c r="F374" s="97">
        <v>0</v>
      </c>
      <c r="G374" s="97">
        <v>1.4210854715202004E-14</v>
      </c>
    </row>
    <row r="375" spans="4:7" x14ac:dyDescent="0.2">
      <c r="D375" s="4" t="s">
        <v>1605</v>
      </c>
      <c r="E375" s="97">
        <f>Model!$Q$169</f>
        <v>0</v>
      </c>
      <c r="F375" s="97">
        <v>-7.1054273576010019E-15</v>
      </c>
      <c r="G375" s="97">
        <v>0</v>
      </c>
    </row>
    <row r="376" spans="4:7" x14ac:dyDescent="0.2">
      <c r="D376" s="4" t="s">
        <v>909</v>
      </c>
      <c r="E376" s="97">
        <f>Model!$H$41</f>
        <v>79.710756160917683</v>
      </c>
      <c r="F376" s="97">
        <v>79.710756160917683</v>
      </c>
      <c r="G376" s="97">
        <v>79.710756160917683</v>
      </c>
    </row>
    <row r="377" spans="4:7" x14ac:dyDescent="0.2">
      <c r="D377" s="4" t="s">
        <v>1606</v>
      </c>
      <c r="E377" s="97">
        <f>Model!$I$41</f>
        <v>105.96184116050772</v>
      </c>
      <c r="F377" s="97">
        <v>105.96184116050772</v>
      </c>
      <c r="G377" s="97">
        <v>105.96184116050772</v>
      </c>
    </row>
    <row r="378" spans="4:7" x14ac:dyDescent="0.2">
      <c r="D378" s="4" t="s">
        <v>1607</v>
      </c>
      <c r="E378" s="97">
        <f>Model!$J$41</f>
        <v>123.24482669897955</v>
      </c>
      <c r="F378" s="97">
        <v>123.24482669897955</v>
      </c>
      <c r="G378" s="97">
        <v>123.24482669897955</v>
      </c>
    </row>
    <row r="379" spans="4:7" x14ac:dyDescent="0.2">
      <c r="D379" s="4" t="s">
        <v>1608</v>
      </c>
      <c r="E379" s="97">
        <f>Model!$K$41</f>
        <v>133.38266871063979</v>
      </c>
      <c r="F379" s="97">
        <v>133.38266871063979</v>
      </c>
      <c r="G379" s="97">
        <v>133.38266871063979</v>
      </c>
    </row>
    <row r="380" spans="4:7" x14ac:dyDescent="0.2">
      <c r="D380" s="4" t="s">
        <v>1609</v>
      </c>
      <c r="E380" s="97">
        <f>Model!$L$41</f>
        <v>129.70706732107197</v>
      </c>
      <c r="F380" s="97">
        <v>129.70706732107197</v>
      </c>
      <c r="G380" s="97">
        <v>129.70706732107197</v>
      </c>
    </row>
    <row r="381" spans="4:7" x14ac:dyDescent="0.2">
      <c r="D381" s="4" t="s">
        <v>1610</v>
      </c>
      <c r="E381" s="97">
        <f>Model!$M$41</f>
        <v>108.52182089455961</v>
      </c>
      <c r="F381" s="97">
        <v>108.52182089455961</v>
      </c>
      <c r="G381" s="97">
        <v>108.52182089455961</v>
      </c>
    </row>
    <row r="382" spans="4:7" x14ac:dyDescent="0.2">
      <c r="D382" s="4" t="s">
        <v>1611</v>
      </c>
      <c r="E382" s="97">
        <f>Model!$N$41</f>
        <v>74.565777826213051</v>
      </c>
      <c r="F382" s="97">
        <v>74.565777826213051</v>
      </c>
      <c r="G382" s="97">
        <v>74.565777826213051</v>
      </c>
    </row>
    <row r="383" spans="4:7" x14ac:dyDescent="0.2">
      <c r="D383" s="4" t="s">
        <v>1612</v>
      </c>
      <c r="E383" s="97">
        <f>Model!$O$41</f>
        <v>55.490728837638159</v>
      </c>
      <c r="F383" s="97">
        <v>55.490728837638159</v>
      </c>
      <c r="G383" s="97">
        <v>55.490728837638159</v>
      </c>
    </row>
    <row r="384" spans="4:7" x14ac:dyDescent="0.2">
      <c r="D384" s="4" t="s">
        <v>1613</v>
      </c>
      <c r="E384" s="97">
        <f>Model!$P$41</f>
        <v>30.490728837638187</v>
      </c>
      <c r="F384" s="97">
        <v>30.490728837638187</v>
      </c>
      <c r="G384" s="97">
        <v>30.490728837638187</v>
      </c>
    </row>
    <row r="385" spans="4:7" x14ac:dyDescent="0.2">
      <c r="D385" s="4" t="s">
        <v>1614</v>
      </c>
      <c r="E385" s="97">
        <f>Model!$Q$41</f>
        <v>22.301839948748395</v>
      </c>
      <c r="F385" s="97">
        <v>22.301839948748395</v>
      </c>
      <c r="G385" s="97">
        <v>22.301839948748395</v>
      </c>
    </row>
    <row r="386" spans="4:7" x14ac:dyDescent="0.2">
      <c r="D386" s="4" t="s">
        <v>1615</v>
      </c>
      <c r="E386" s="97">
        <f>Model!$H$172</f>
        <v>0</v>
      </c>
      <c r="F386" s="97">
        <v>0</v>
      </c>
      <c r="G386" s="97">
        <v>0</v>
      </c>
    </row>
    <row r="387" spans="4:7" x14ac:dyDescent="0.2">
      <c r="D387" s="4" t="s">
        <v>1616</v>
      </c>
      <c r="E387" s="97">
        <f>Model!$I$172</f>
        <v>0</v>
      </c>
      <c r="F387" s="97">
        <v>0</v>
      </c>
      <c r="G387" s="97">
        <v>0</v>
      </c>
    </row>
    <row r="388" spans="4:7" x14ac:dyDescent="0.2">
      <c r="D388" s="4" t="s">
        <v>1617</v>
      </c>
      <c r="E388" s="97">
        <f>Model!$J$172</f>
        <v>5.2763123743440588</v>
      </c>
      <c r="F388" s="97">
        <v>0</v>
      </c>
      <c r="G388" s="97">
        <v>0</v>
      </c>
    </row>
    <row r="389" spans="4:7" x14ac:dyDescent="0.2">
      <c r="D389" s="4" t="s">
        <v>1618</v>
      </c>
      <c r="E389" s="97">
        <f>Model!$K$172</f>
        <v>30.93813743062114</v>
      </c>
      <c r="F389" s="97">
        <v>0</v>
      </c>
      <c r="G389" s="97">
        <v>0</v>
      </c>
    </row>
    <row r="390" spans="4:7" x14ac:dyDescent="0.2">
      <c r="D390" s="4" t="s">
        <v>1619</v>
      </c>
      <c r="E390" s="97">
        <f>Model!$L$172</f>
        <v>70.460258490229933</v>
      </c>
      <c r="F390" s="97">
        <v>0</v>
      </c>
      <c r="G390" s="97">
        <v>0</v>
      </c>
    </row>
    <row r="391" spans="4:7" x14ac:dyDescent="0.2">
      <c r="D391" s="4" t="s">
        <v>1620</v>
      </c>
      <c r="E391" s="97">
        <f>Model!$M$172</f>
        <v>127.01454037552735</v>
      </c>
      <c r="F391" s="97">
        <v>0</v>
      </c>
      <c r="G391" s="97">
        <v>21.057607690058475</v>
      </c>
    </row>
    <row r="392" spans="4:7" x14ac:dyDescent="0.2">
      <c r="D392" s="4" t="s">
        <v>1621</v>
      </c>
      <c r="E392" s="97">
        <f>Model!$N$172</f>
        <v>187.03525120638716</v>
      </c>
      <c r="F392" s="97">
        <v>5.1253588867794946</v>
      </c>
      <c r="G392" s="97">
        <v>53.004968757063565</v>
      </c>
    </row>
    <row r="393" spans="4:7" x14ac:dyDescent="0.2">
      <c r="D393" s="4" t="s">
        <v>1622</v>
      </c>
      <c r="E393" s="97">
        <f>Model!$O$172</f>
        <v>229.25273976310379</v>
      </c>
      <c r="F393" s="97">
        <v>18.450358380186202</v>
      </c>
      <c r="G393" s="97">
        <v>68.055692343583104</v>
      </c>
    </row>
    <row r="394" spans="4:7" x14ac:dyDescent="0.2">
      <c r="D394" s="4" t="s">
        <v>1623</v>
      </c>
      <c r="E394" s="97">
        <f>Model!$P$172</f>
        <v>274.60006451848773</v>
      </c>
      <c r="F394" s="97">
        <v>37.103750301489612</v>
      </c>
      <c r="G394" s="97">
        <v>87.278467578103431</v>
      </c>
    </row>
    <row r="395" spans="4:7" x14ac:dyDescent="0.2">
      <c r="D395" s="4" t="s">
        <v>1624</v>
      </c>
      <c r="E395" s="97">
        <f>Model!$Q$172</f>
        <v>300.52921508184471</v>
      </c>
      <c r="F395" s="97">
        <v>38.31489867036229</v>
      </c>
      <c r="G395" s="97">
        <v>88.121245227862559</v>
      </c>
    </row>
    <row r="396" spans="4:7" x14ac:dyDescent="0.2">
      <c r="D396" s="4" t="s">
        <v>1625</v>
      </c>
      <c r="E396" s="102">
        <f>Model!$H$171</f>
        <v>0</v>
      </c>
      <c r="F396" s="102">
        <v>0</v>
      </c>
      <c r="G396" s="102">
        <v>0</v>
      </c>
    </row>
    <row r="397" spans="4:7" x14ac:dyDescent="0.2">
      <c r="D397" s="4" t="s">
        <v>1626</v>
      </c>
      <c r="E397" s="102">
        <f>Model!$I$171</f>
        <v>0</v>
      </c>
      <c r="F397" s="102">
        <v>0</v>
      </c>
      <c r="G397" s="102">
        <v>0</v>
      </c>
    </row>
    <row r="398" spans="4:7" x14ac:dyDescent="0.2">
      <c r="D398" s="4" t="s">
        <v>1627</v>
      </c>
      <c r="E398" s="102">
        <f>Model!$J$171</f>
        <v>0</v>
      </c>
      <c r="F398" s="102">
        <v>0</v>
      </c>
      <c r="G398" s="102">
        <v>0</v>
      </c>
    </row>
    <row r="399" spans="4:7" x14ac:dyDescent="0.2">
      <c r="D399" s="4" t="s">
        <v>1628</v>
      </c>
      <c r="E399" s="102">
        <f>Model!$K$171</f>
        <v>0</v>
      </c>
      <c r="F399" s="102">
        <v>0</v>
      </c>
      <c r="G399" s="102">
        <v>0</v>
      </c>
    </row>
    <row r="400" spans="4:7" x14ac:dyDescent="0.2">
      <c r="D400" s="4" t="s">
        <v>1629</v>
      </c>
      <c r="E400" s="102">
        <f>Model!$L$171</f>
        <v>0</v>
      </c>
      <c r="F400" s="102">
        <v>0</v>
      </c>
      <c r="G400" s="102">
        <v>0</v>
      </c>
    </row>
    <row r="401" spans="4:7" x14ac:dyDescent="0.2">
      <c r="D401" s="4" t="s">
        <v>1630</v>
      </c>
      <c r="E401" s="102">
        <f>Model!$M$171</f>
        <v>0</v>
      </c>
      <c r="F401" s="102">
        <v>0</v>
      </c>
      <c r="G401" s="102">
        <v>0</v>
      </c>
    </row>
    <row r="402" spans="4:7" x14ac:dyDescent="0.2">
      <c r="D402" s="4" t="s">
        <v>1631</v>
      </c>
      <c r="E402" s="102">
        <f>Model!$N$171</f>
        <v>0</v>
      </c>
      <c r="F402" s="102">
        <v>0.125</v>
      </c>
      <c r="G402" s="102">
        <v>0</v>
      </c>
    </row>
    <row r="403" spans="4:7" x14ac:dyDescent="0.2">
      <c r="D403" s="4" t="s">
        <v>1632</v>
      </c>
      <c r="E403" s="102">
        <f>Model!$O$171</f>
        <v>0</v>
      </c>
      <c r="F403" s="102">
        <v>0.25</v>
      </c>
      <c r="G403" s="102">
        <v>0</v>
      </c>
    </row>
    <row r="404" spans="4:7" x14ac:dyDescent="0.2">
      <c r="D404" s="4" t="s">
        <v>1633</v>
      </c>
      <c r="E404" s="102">
        <f>Model!$P$171</f>
        <v>0</v>
      </c>
      <c r="F404" s="102">
        <v>0.25</v>
      </c>
      <c r="G404" s="102">
        <v>0</v>
      </c>
    </row>
    <row r="405" spans="4:7" x14ac:dyDescent="0.2">
      <c r="D405" s="4" t="s">
        <v>1634</v>
      </c>
      <c r="E405" s="102">
        <f>Model!$Q$171</f>
        <v>0</v>
      </c>
      <c r="F405" s="102">
        <v>0.25</v>
      </c>
      <c r="G405" s="102">
        <v>0</v>
      </c>
    </row>
    <row r="406" spans="4:7" x14ac:dyDescent="0.2">
      <c r="D406" s="4" t="s">
        <v>1635</v>
      </c>
      <c r="E406" s="97">
        <f>Model!$H$173</f>
        <v>0</v>
      </c>
      <c r="F406" s="97">
        <v>0</v>
      </c>
      <c r="G406" s="97">
        <v>0</v>
      </c>
    </row>
    <row r="407" spans="4:7" x14ac:dyDescent="0.2">
      <c r="D407" s="4" t="s">
        <v>1636</v>
      </c>
      <c r="E407" s="97">
        <f>Model!$I$173</f>
        <v>0</v>
      </c>
      <c r="F407" s="97">
        <v>0</v>
      </c>
      <c r="G407" s="97">
        <v>0</v>
      </c>
    </row>
    <row r="408" spans="4:7" x14ac:dyDescent="0.2">
      <c r="D408" s="4" t="s">
        <v>1637</v>
      </c>
      <c r="E408" s="97">
        <f>Model!$J$173</f>
        <v>0</v>
      </c>
      <c r="F408" s="97">
        <v>0</v>
      </c>
      <c r="G408" s="97">
        <v>0</v>
      </c>
    </row>
    <row r="409" spans="4:7" x14ac:dyDescent="0.2">
      <c r="D409" s="4" t="s">
        <v>1638</v>
      </c>
      <c r="E409" s="97">
        <f>Model!$K$173</f>
        <v>0</v>
      </c>
      <c r="F409" s="97">
        <v>0</v>
      </c>
      <c r="G409" s="97">
        <v>0</v>
      </c>
    </row>
    <row r="410" spans="4:7" x14ac:dyDescent="0.2">
      <c r="D410" s="4" t="s">
        <v>1639</v>
      </c>
      <c r="E410" s="97">
        <f>Model!$L$173</f>
        <v>0</v>
      </c>
      <c r="F410" s="97">
        <v>0</v>
      </c>
      <c r="G410" s="97">
        <v>0</v>
      </c>
    </row>
    <row r="411" spans="4:7" x14ac:dyDescent="0.2">
      <c r="D411" s="4" t="s">
        <v>1640</v>
      </c>
      <c r="E411" s="97">
        <f>Model!$M$173</f>
        <v>0</v>
      </c>
      <c r="F411" s="97">
        <v>0</v>
      </c>
      <c r="G411" s="97">
        <v>0</v>
      </c>
    </row>
    <row r="412" spans="4:7" x14ac:dyDescent="0.2">
      <c r="D412" s="4" t="s">
        <v>1641</v>
      </c>
      <c r="E412" s="97">
        <f>Model!$N$173</f>
        <v>0</v>
      </c>
      <c r="F412" s="97">
        <v>0.32033493042371841</v>
      </c>
      <c r="G412" s="97">
        <v>0</v>
      </c>
    </row>
    <row r="413" spans="4:7" x14ac:dyDescent="0.2">
      <c r="D413" s="4" t="s">
        <v>1642</v>
      </c>
      <c r="E413" s="97">
        <f>Model!$O$173</f>
        <v>0</v>
      </c>
      <c r="F413" s="97">
        <v>2.3062947975232753</v>
      </c>
      <c r="G413" s="97">
        <v>0</v>
      </c>
    </row>
    <row r="414" spans="4:7" x14ac:dyDescent="0.2">
      <c r="D414" s="4" t="s">
        <v>1643</v>
      </c>
      <c r="E414" s="97">
        <f>Model!$P$173</f>
        <v>0</v>
      </c>
      <c r="F414" s="97">
        <v>4.6379687876862015</v>
      </c>
      <c r="G414" s="97">
        <v>0</v>
      </c>
    </row>
    <row r="415" spans="4:7" x14ac:dyDescent="0.2">
      <c r="D415" s="4" t="s">
        <v>1644</v>
      </c>
      <c r="E415" s="97">
        <f>Model!$Q$173</f>
        <v>0</v>
      </c>
      <c r="F415" s="97">
        <v>4.7893623337952862</v>
      </c>
      <c r="G415" s="97">
        <v>0</v>
      </c>
    </row>
    <row r="416" spans="4:7" x14ac:dyDescent="0.2">
      <c r="D416" s="4" t="s">
        <v>1645</v>
      </c>
      <c r="E416" s="97">
        <f>Model!$H$174</f>
        <v>0</v>
      </c>
      <c r="F416" s="97">
        <v>0</v>
      </c>
      <c r="G416" s="97">
        <v>0</v>
      </c>
    </row>
    <row r="417" spans="4:7" x14ac:dyDescent="0.2">
      <c r="D417" s="4" t="s">
        <v>1646</v>
      </c>
      <c r="E417" s="97">
        <f>Model!$I$174</f>
        <v>0</v>
      </c>
      <c r="F417" s="97">
        <v>0</v>
      </c>
      <c r="G417" s="97">
        <v>0</v>
      </c>
    </row>
    <row r="418" spans="4:7" x14ac:dyDescent="0.2">
      <c r="D418" s="4" t="s">
        <v>1647</v>
      </c>
      <c r="E418" s="97">
        <f>Model!$J$174</f>
        <v>0</v>
      </c>
      <c r="F418" s="97">
        <v>0</v>
      </c>
      <c r="G418" s="97">
        <v>0</v>
      </c>
    </row>
    <row r="419" spans="4:7" x14ac:dyDescent="0.2">
      <c r="D419" s="4" t="s">
        <v>1648</v>
      </c>
      <c r="E419" s="97">
        <f>Model!$K$174</f>
        <v>0</v>
      </c>
      <c r="F419" s="97">
        <v>0</v>
      </c>
      <c r="G419" s="97">
        <v>0</v>
      </c>
    </row>
    <row r="420" spans="4:7" x14ac:dyDescent="0.2">
      <c r="D420" s="4" t="s">
        <v>1649</v>
      </c>
      <c r="E420" s="97">
        <f>Model!$L$174</f>
        <v>0</v>
      </c>
      <c r="F420" s="97">
        <v>0</v>
      </c>
      <c r="G420" s="97">
        <v>0</v>
      </c>
    </row>
    <row r="421" spans="4:7" x14ac:dyDescent="0.2">
      <c r="D421" s="4" t="s">
        <v>1650</v>
      </c>
      <c r="E421" s="97">
        <f>Model!$M$174</f>
        <v>0</v>
      </c>
      <c r="F421" s="97">
        <v>0</v>
      </c>
      <c r="G421" s="97">
        <v>0</v>
      </c>
    </row>
    <row r="422" spans="4:7" x14ac:dyDescent="0.2">
      <c r="D422" s="4" t="s">
        <v>1651</v>
      </c>
      <c r="E422" s="97">
        <f>Model!$N$174</f>
        <v>0</v>
      </c>
      <c r="F422" s="97">
        <v>0.32033493042371841</v>
      </c>
      <c r="G422" s="97">
        <v>0</v>
      </c>
    </row>
    <row r="423" spans="4:7" x14ac:dyDescent="0.2">
      <c r="D423" s="4" t="s">
        <v>1652</v>
      </c>
      <c r="E423" s="97">
        <f>Model!$O$174</f>
        <v>0</v>
      </c>
      <c r="F423" s="97">
        <v>2.3062947975232753</v>
      </c>
      <c r="G423" s="97">
        <v>0</v>
      </c>
    </row>
    <row r="424" spans="4:7" x14ac:dyDescent="0.2">
      <c r="D424" s="4" t="s">
        <v>1653</v>
      </c>
      <c r="E424" s="97">
        <f>Model!$P$174</f>
        <v>0</v>
      </c>
      <c r="F424" s="97">
        <v>4.6379687876862015</v>
      </c>
      <c r="G424" s="97">
        <v>0</v>
      </c>
    </row>
    <row r="425" spans="4:7" x14ac:dyDescent="0.2">
      <c r="D425" s="4" t="s">
        <v>1654</v>
      </c>
      <c r="E425" s="97">
        <f>Model!$Q$174</f>
        <v>0</v>
      </c>
      <c r="F425" s="97">
        <v>4.7893623337952862</v>
      </c>
      <c r="G425" s="97">
        <v>0</v>
      </c>
    </row>
    <row r="426" spans="4:7" x14ac:dyDescent="0.2">
      <c r="D426" s="4" t="s">
        <v>1655</v>
      </c>
      <c r="E426" s="97">
        <f>Model!$H$42</f>
        <v>79.710756160917683</v>
      </c>
      <c r="F426" s="97">
        <v>79.710756160917683</v>
      </c>
      <c r="G426" s="97">
        <v>79.710756160917683</v>
      </c>
    </row>
    <row r="427" spans="4:7" x14ac:dyDescent="0.2">
      <c r="D427" s="4" t="s">
        <v>1656</v>
      </c>
      <c r="E427" s="97">
        <f>Model!$I$42</f>
        <v>105.96184116050772</v>
      </c>
      <c r="F427" s="97">
        <v>105.96184116050772</v>
      </c>
      <c r="G427" s="97">
        <v>105.96184116050772</v>
      </c>
    </row>
    <row r="428" spans="4:7" x14ac:dyDescent="0.2">
      <c r="D428" s="4" t="s">
        <v>1657</v>
      </c>
      <c r="E428" s="97">
        <f>Model!$J$42</f>
        <v>128.52113907332361</v>
      </c>
      <c r="F428" s="97">
        <v>123.24482669897955</v>
      </c>
      <c r="G428" s="97">
        <v>123.24482669897955</v>
      </c>
    </row>
    <row r="429" spans="4:7" x14ac:dyDescent="0.2">
      <c r="D429" s="4" t="s">
        <v>1658</v>
      </c>
      <c r="E429" s="97">
        <f>Model!$K$42</f>
        <v>164.32080614126093</v>
      </c>
      <c r="F429" s="97">
        <v>133.38266871063979</v>
      </c>
      <c r="G429" s="97">
        <v>133.38266871063979</v>
      </c>
    </row>
    <row r="430" spans="4:7" x14ac:dyDescent="0.2">
      <c r="D430" s="4" t="s">
        <v>1659</v>
      </c>
      <c r="E430" s="97">
        <f>Model!$L$42</f>
        <v>200.16732581130191</v>
      </c>
      <c r="F430" s="97">
        <v>129.70706732107197</v>
      </c>
      <c r="G430" s="97">
        <v>129.70706732107197</v>
      </c>
    </row>
    <row r="431" spans="4:7" x14ac:dyDescent="0.2">
      <c r="D431" s="4" t="s">
        <v>1660</v>
      </c>
      <c r="E431" s="97">
        <f>Model!$M$42</f>
        <v>235.53636127008696</v>
      </c>
      <c r="F431" s="97">
        <v>108.52182089455961</v>
      </c>
      <c r="G431" s="97">
        <v>129.57942858461809</v>
      </c>
    </row>
    <row r="432" spans="4:7" x14ac:dyDescent="0.2">
      <c r="D432" s="4" t="s">
        <v>1661</v>
      </c>
      <c r="E432" s="97">
        <f>Model!$N$42</f>
        <v>261.6010290326002</v>
      </c>
      <c r="F432" s="97">
        <v>79.370801782568833</v>
      </c>
      <c r="G432" s="97">
        <v>127.57074658327662</v>
      </c>
    </row>
    <row r="433" spans="4:7" x14ac:dyDescent="0.2">
      <c r="D433" s="4" t="s">
        <v>1662</v>
      </c>
      <c r="E433" s="97">
        <f>Model!$O$42</f>
        <v>284.74346860074195</v>
      </c>
      <c r="F433" s="97">
        <v>71.634792420301082</v>
      </c>
      <c r="G433" s="97">
        <v>123.54642118122126</v>
      </c>
    </row>
    <row r="434" spans="4:7" x14ac:dyDescent="0.2">
      <c r="D434" s="4" t="s">
        <v>1663</v>
      </c>
      <c r="E434" s="97">
        <f>Model!$P$42</f>
        <v>305.09079335612591</v>
      </c>
      <c r="F434" s="97">
        <v>62.956510351441594</v>
      </c>
      <c r="G434" s="97">
        <v>117.76919641574162</v>
      </c>
    </row>
    <row r="435" spans="4:7" x14ac:dyDescent="0.2">
      <c r="D435" s="4" t="s">
        <v>1664</v>
      </c>
      <c r="E435" s="97">
        <f>Model!$Q$42</f>
        <v>322.83105503059312</v>
      </c>
      <c r="F435" s="97">
        <v>55.827376285315395</v>
      </c>
      <c r="G435" s="97">
        <v>110.42308517661095</v>
      </c>
    </row>
    <row r="436" spans="4:7" x14ac:dyDescent="0.2">
      <c r="D436" s="4" t="s">
        <v>1665</v>
      </c>
      <c r="E436" s="97">
        <f>Model!$H$43</f>
        <v>22.078348812411896</v>
      </c>
      <c r="F436" s="97">
        <v>25.533941136200497</v>
      </c>
      <c r="G436" s="97">
        <v>24.423297436983148</v>
      </c>
    </row>
    <row r="437" spans="4:7" x14ac:dyDescent="0.2">
      <c r="D437" s="4" t="s">
        <v>1666</v>
      </c>
      <c r="E437" s="97">
        <f>Model!$I$43</f>
        <v>12.296586360341351</v>
      </c>
      <c r="F437" s="97">
        <v>25.156250393630856</v>
      </c>
      <c r="G437" s="97">
        <v>20.476685140648996</v>
      </c>
    </row>
    <row r="438" spans="4:7" x14ac:dyDescent="0.2">
      <c r="D438" s="4" t="s">
        <v>1667</v>
      </c>
      <c r="E438" s="97">
        <f>Model!$J$43</f>
        <v>0</v>
      </c>
      <c r="F438" s="97">
        <v>40.472495773744981</v>
      </c>
      <c r="G438" s="97">
        <v>25.062302438101995</v>
      </c>
    </row>
    <row r="439" spans="4:7" x14ac:dyDescent="0.2">
      <c r="D439" s="4" t="s">
        <v>1668</v>
      </c>
      <c r="E439" s="97">
        <f>Model!$K$43</f>
        <v>0</v>
      </c>
      <c r="F439" s="97">
        <v>50.060825220803565</v>
      </c>
      <c r="G439" s="97">
        <v>23.800586974103595</v>
      </c>
    </row>
    <row r="440" spans="4:7" x14ac:dyDescent="0.2">
      <c r="D440" s="4" t="s">
        <v>1669</v>
      </c>
      <c r="E440" s="97">
        <f>Model!$L$43</f>
        <v>0</v>
      </c>
      <c r="F440" s="97">
        <v>46.405827872686672</v>
      </c>
      <c r="G440" s="97">
        <v>9.7477147767355632</v>
      </c>
    </row>
    <row r="441" spans="4:7" x14ac:dyDescent="0.2">
      <c r="D441" s="4" t="s">
        <v>1670</v>
      </c>
      <c r="E441" s="97">
        <f>Model!$M$43</f>
        <v>0</v>
      </c>
      <c r="F441" s="97">
        <v>25.536925099861264</v>
      </c>
      <c r="G441" s="97">
        <v>0</v>
      </c>
    </row>
    <row r="442" spans="4:7" x14ac:dyDescent="0.2">
      <c r="D442" s="4" t="s">
        <v>1671</v>
      </c>
      <c r="E442" s="97">
        <f>Model!$N$43</f>
        <v>0</v>
      </c>
      <c r="F442" s="97">
        <v>0</v>
      </c>
      <c r="G442" s="97">
        <v>0</v>
      </c>
    </row>
    <row r="443" spans="4:7" x14ac:dyDescent="0.2">
      <c r="D443" s="4" t="s">
        <v>1672</v>
      </c>
      <c r="E443" s="97">
        <f>Model!$O$43</f>
        <v>0</v>
      </c>
      <c r="F443" s="97">
        <v>0</v>
      </c>
      <c r="G443" s="97">
        <v>0</v>
      </c>
    </row>
    <row r="444" spans="4:7" x14ac:dyDescent="0.2">
      <c r="D444" s="4" t="s">
        <v>1673</v>
      </c>
      <c r="E444" s="97">
        <f>Model!$P$43</f>
        <v>0</v>
      </c>
      <c r="F444" s="97">
        <v>0</v>
      </c>
      <c r="G444" s="97">
        <v>0</v>
      </c>
    </row>
    <row r="445" spans="4:7" x14ac:dyDescent="0.2">
      <c r="D445" s="4" t="s">
        <v>1674</v>
      </c>
      <c r="E445" s="97">
        <f>Model!$Q$43</f>
        <v>0</v>
      </c>
      <c r="F445" s="97">
        <v>0</v>
      </c>
      <c r="G445" s="97">
        <v>0</v>
      </c>
    </row>
    <row r="446" spans="4:7" x14ac:dyDescent="0.2">
      <c r="D446" s="4" t="s">
        <v>1051</v>
      </c>
      <c r="E446" s="102">
        <f>Model!$H$59</f>
        <v>7.8530523464080654E-2</v>
      </c>
      <c r="F446" s="102">
        <v>-8.7028245264210491E-2</v>
      </c>
      <c r="G446" s="102">
        <v>-8.2816775176232982E-2</v>
      </c>
    </row>
    <row r="447" spans="4:7" x14ac:dyDescent="0.2">
      <c r="D447" s="4" t="s">
        <v>1675</v>
      </c>
      <c r="E447" s="102">
        <f>Model!$I$59</f>
        <v>0.15435960300890206</v>
      </c>
      <c r="F447" s="102">
        <v>-0.27146915801855398</v>
      </c>
      <c r="G447" s="102">
        <v>-0.19054212740556858</v>
      </c>
    </row>
    <row r="448" spans="4:7" x14ac:dyDescent="0.2">
      <c r="D448" s="4" t="s">
        <v>1676</v>
      </c>
      <c r="E448" s="102">
        <f>Model!$J$59</f>
        <v>0.20573841351339489</v>
      </c>
      <c r="F448" s="102">
        <v>-0.3946757505547201</v>
      </c>
      <c r="G448" s="102">
        <v>-0.22651342914349815</v>
      </c>
    </row>
    <row r="449" spans="4:15" x14ac:dyDescent="0.2">
      <c r="D449" s="4" t="s">
        <v>1677</v>
      </c>
      <c r="E449" s="102">
        <f>Model!$K$59</f>
        <v>0.1955364449721945</v>
      </c>
      <c r="F449" s="102">
        <v>-0.44854137087777535</v>
      </c>
      <c r="G449" s="102">
        <v>-0.2172920553266274</v>
      </c>
    </row>
    <row r="450" spans="4:15" x14ac:dyDescent="0.2">
      <c r="D450" s="4" t="s">
        <v>1678</v>
      </c>
      <c r="E450" s="102">
        <f>Model!$L$59</f>
        <v>0.19316206681455295</v>
      </c>
      <c r="F450" s="102">
        <v>-0.36149491016432395</v>
      </c>
      <c r="G450" s="102">
        <v>-0.11982025323298591</v>
      </c>
    </row>
    <row r="451" spans="4:15" x14ac:dyDescent="0.2">
      <c r="D451" s="4" t="s">
        <v>1679</v>
      </c>
      <c r="E451" s="102">
        <f>Model!$M$59</f>
        <v>0.20666682090172842</v>
      </c>
      <c r="F451" s="102">
        <v>-8.1623875824931205E-2</v>
      </c>
      <c r="G451" s="102">
        <v>-1.0776817336650792E-2</v>
      </c>
    </row>
    <row r="452" spans="4:15" x14ac:dyDescent="0.2">
      <c r="D452" s="4" t="s">
        <v>1680</v>
      </c>
      <c r="E452" s="102">
        <f>Model!$N$59</f>
        <v>0.21924364556134612</v>
      </c>
      <c r="F452" s="102">
        <v>0.13397714245788017</v>
      </c>
      <c r="G452" s="102">
        <v>3.9919259345258119E-2</v>
      </c>
    </row>
    <row r="453" spans="4:15" x14ac:dyDescent="0.2">
      <c r="D453" s="4" t="s">
        <v>1681</v>
      </c>
      <c r="E453" s="102">
        <f>Model!$O$59</f>
        <v>0.23199198627151105</v>
      </c>
      <c r="F453" s="102">
        <v>0.19294384360835992</v>
      </c>
      <c r="G453" s="102">
        <v>9.1648923413774522E-2</v>
      </c>
    </row>
    <row r="454" spans="4:15" x14ac:dyDescent="0.2">
      <c r="D454" s="4" t="s">
        <v>1682</v>
      </c>
      <c r="E454" s="102">
        <f>Model!$P$59</f>
        <v>0.24486513755746939</v>
      </c>
      <c r="F454" s="102">
        <v>0.25308461109638675</v>
      </c>
      <c r="G454" s="102">
        <v>0.14424083094718818</v>
      </c>
    </row>
    <row r="455" spans="4:15" x14ac:dyDescent="0.2">
      <c r="D455" s="4" t="s">
        <v>1683</v>
      </c>
      <c r="E455" s="102">
        <f>Model!$Q$59</f>
        <v>0.25783147702839776</v>
      </c>
      <c r="F455" s="102">
        <v>0.29894346108198233</v>
      </c>
      <c r="G455" s="102">
        <v>0.19755546544338135</v>
      </c>
    </row>
    <row r="457" spans="4:15" x14ac:dyDescent="0.2">
      <c r="D457" s="11" t="s">
        <v>2283</v>
      </c>
    </row>
    <row r="458" spans="4:15" ht="25.5" x14ac:dyDescent="0.2">
      <c r="D458" s="11"/>
      <c r="E458" s="151" t="s">
        <v>1313</v>
      </c>
      <c r="F458" s="151" t="s">
        <v>2</v>
      </c>
      <c r="G458" s="151" t="s">
        <v>1537</v>
      </c>
      <c r="H458" s="151" t="s">
        <v>1808</v>
      </c>
      <c r="I458" s="151" t="s">
        <v>1138</v>
      </c>
      <c r="J458" s="151" t="s">
        <v>1824</v>
      </c>
      <c r="K458" s="151" t="s">
        <v>1795</v>
      </c>
      <c r="L458" s="151" t="s">
        <v>1809</v>
      </c>
      <c r="M458" s="151" t="s">
        <v>1810</v>
      </c>
      <c r="N458" s="151" t="s">
        <v>1131</v>
      </c>
      <c r="O458" s="151" t="s">
        <v>1130</v>
      </c>
    </row>
    <row r="459" spans="4:15" x14ac:dyDescent="0.2">
      <c r="D459" s="4" t="s">
        <v>2284</v>
      </c>
      <c r="E459" s="137">
        <f>Inputs!$F$28</f>
        <v>0</v>
      </c>
      <c r="F459" s="137">
        <f>Inputs!$G$28</f>
        <v>0.45</v>
      </c>
      <c r="G459" s="137">
        <f>Inputs!$H$28</f>
        <v>0</v>
      </c>
      <c r="H459" s="137">
        <f>Inputs!$I$28</f>
        <v>0.15</v>
      </c>
      <c r="I459" s="137">
        <f>Inputs!$J$28</f>
        <v>0.15</v>
      </c>
      <c r="J459" s="137">
        <f>Inputs!$L$53</f>
        <v>0.2</v>
      </c>
      <c r="K459" s="137">
        <f>Inputs!$L$54</f>
        <v>0.05</v>
      </c>
      <c r="L459" s="109">
        <f>SUM(E459:K459)</f>
        <v>1</v>
      </c>
      <c r="M459" s="146">
        <f>Moonshot!$I$101</f>
        <v>165.80522865773676</v>
      </c>
      <c r="N459" s="146">
        <f>E459*$F$18+F459*$G$18+G459*$H$18+H459*$I$18+I459*$J$18+J459*$K$18+K459*M459</f>
        <v>77.420169864869351</v>
      </c>
      <c r="O459" s="99">
        <f>E459*$F$17+F459*$G$17+G459*$H$17+H459*$I$17+I459*$J$17+J459*$K$17+K459*M459*Moonshot!$I$99/MperB</f>
        <v>1341.3149641789969</v>
      </c>
    </row>
    <row r="460" spans="4:15" x14ac:dyDescent="0.2">
      <c r="D460" s="4" t="s">
        <v>1811</v>
      </c>
      <c r="E460" s="137">
        <f>Inputs!$F$28</f>
        <v>0</v>
      </c>
      <c r="F460" s="137">
        <f>Inputs!$G$28</f>
        <v>0.45</v>
      </c>
      <c r="G460" s="137">
        <f>Inputs!$H$28</f>
        <v>0</v>
      </c>
      <c r="H460" s="137">
        <f>Inputs!$I$28</f>
        <v>0.15</v>
      </c>
      <c r="I460" s="137">
        <f>Inputs!$J$28</f>
        <v>0.15</v>
      </c>
      <c r="J460" s="137">
        <f>Inputs!$L$53</f>
        <v>0.2</v>
      </c>
      <c r="K460" s="137">
        <f>Inputs!$L$54</f>
        <v>0.05</v>
      </c>
      <c r="L460" s="109">
        <f>SUM(E460:K460)</f>
        <v>1</v>
      </c>
      <c r="M460" s="146">
        <f>Moonshot!$H$101</f>
        <v>145.74144824148578</v>
      </c>
      <c r="N460" s="146">
        <f>E460*$F$18+F460*$G$18+G460*$H$18+H460*$I$18+I460*$J$18+J460*$K$18+K460*M460</f>
        <v>76.416980844056809</v>
      </c>
      <c r="O460" s="99">
        <f>E460*$F$17+F460*$G$17+G460*$H$17+H460*$I$17+I460*$J$17+J460*$K$17+K460*M460*Moonshot!$I$99/MperB</f>
        <v>1323.7014196690704</v>
      </c>
    </row>
    <row r="461" spans="4:15" ht="25.5" x14ac:dyDescent="0.2">
      <c r="D461" s="36" t="s">
        <v>1833</v>
      </c>
      <c r="E461" s="140">
        <v>0</v>
      </c>
      <c r="F461" s="140">
        <v>0.47499999999999998</v>
      </c>
      <c r="G461" s="140">
        <v>0</v>
      </c>
      <c r="H461" s="140">
        <v>0.14249999999999999</v>
      </c>
      <c r="I461" s="140">
        <v>0.14249999999999999</v>
      </c>
      <c r="J461" s="140">
        <v>0.19</v>
      </c>
      <c r="K461" s="165">
        <v>0.05</v>
      </c>
      <c r="L461" s="109">
        <f>SUM(E461:K461)</f>
        <v>1</v>
      </c>
      <c r="M461" s="146">
        <f>Moonshot!$I$101</f>
        <v>165.80522865773676</v>
      </c>
      <c r="N461" s="146">
        <f>E461*$F$18+F461*$G$18+G461*$H$18+H461*$I$18+I461*$J$18+J461*$K$18+K461*M461</f>
        <v>77.869974072502714</v>
      </c>
      <c r="O461" s="99">
        <f>E461*$F$17+F461*$G$17+G461*$H$17+H461*$I$17+I461*$J$17+J461*$K$17+K461*M461*Moonshot!$I$99/MperB</f>
        <v>1348.7673092732164</v>
      </c>
    </row>
    <row r="462" spans="4:15" x14ac:dyDescent="0.2">
      <c r="D462" s="4" t="s">
        <v>1821</v>
      </c>
      <c r="E462" s="89">
        <v>0</v>
      </c>
      <c r="F462" s="89">
        <v>0.5</v>
      </c>
      <c r="G462" s="89">
        <v>0</v>
      </c>
      <c r="H462" s="89">
        <v>0.15</v>
      </c>
      <c r="I462" s="89">
        <v>0.15</v>
      </c>
      <c r="J462" s="89">
        <v>0.2</v>
      </c>
      <c r="K462" s="88">
        <v>0</v>
      </c>
      <c r="L462" s="109">
        <f>SUM(E462:K462)</f>
        <v>1</v>
      </c>
      <c r="M462" s="146">
        <f>Moonshot!$I$101</f>
        <v>165.80522865773676</v>
      </c>
      <c r="N462" s="146">
        <f>E462*$F$18+F462*$G$18+G462*$H$18+H462*$I$18+I462*$J$18+J462*$K$18+K462*M462</f>
        <v>73.241802778543033</v>
      </c>
      <c r="O462" s="99">
        <f>E462*$F$17+F462*$G$17+G462*$H$17+H462*$I$17+I462*$J$17+J462*$K$17+K462*M462*Moonshot!$I$99/MperB</f>
        <v>1266.5374777779086</v>
      </c>
    </row>
    <row r="464" spans="4:15" x14ac:dyDescent="0.2">
      <c r="D464" s="11" t="s">
        <v>2040</v>
      </c>
    </row>
    <row r="465" spans="2:13" x14ac:dyDescent="0.2">
      <c r="D465" s="4" t="s">
        <v>1469</v>
      </c>
      <c r="E465" s="141">
        <f>Model!$F$100</f>
        <v>82.237886931210411</v>
      </c>
      <c r="F465" s="168">
        <v>1</v>
      </c>
      <c r="G465" s="168">
        <v>2</v>
      </c>
      <c r="H465" s="168">
        <v>3</v>
      </c>
      <c r="I465" s="168">
        <v>4</v>
      </c>
      <c r="J465" s="168">
        <v>5</v>
      </c>
      <c r="K465" s="168">
        <v>6</v>
      </c>
      <c r="L465" s="4" t="s">
        <v>1470</v>
      </c>
      <c r="M465" s="4" t="s">
        <v>1471</v>
      </c>
    </row>
    <row r="466" spans="2:13" x14ac:dyDescent="0.2">
      <c r="D466" s="4" t="s">
        <v>1868</v>
      </c>
      <c r="E466" s="168">
        <v>19</v>
      </c>
      <c r="F466" s="141">
        <f t="dataTable" ref="F466:K468" dt2D="1" dtr="1" r1="E7" r2="E8" ca="1"/>
        <v>14.01415357357142</v>
      </c>
      <c r="G466" s="141">
        <v>81.146207074016885</v>
      </c>
      <c r="H466" s="141">
        <v>178.83251495746515</v>
      </c>
      <c r="I466" s="141">
        <v>16.412910885247236</v>
      </c>
      <c r="J466" s="141">
        <v>34.219221747357224</v>
      </c>
      <c r="K466" s="141">
        <v>120.36782576717697</v>
      </c>
      <c r="L466" s="141">
        <f>SUMPRODUCT(F466:J466,Inputs!$F$28:$J$28)+Inputs!$L$53*$K466+Inputs!$L$54*($K466+(Moonshot!$I$101-Moonshot!$I$100))</f>
        <v>76.388511469757603</v>
      </c>
      <c r="M466" s="141">
        <f>L466-$K$210</f>
        <v>-1.031658395111748</v>
      </c>
    </row>
    <row r="467" spans="2:13" x14ac:dyDescent="0.2">
      <c r="D467" s="4" t="s">
        <v>1869</v>
      </c>
      <c r="E467" s="168">
        <v>20</v>
      </c>
      <c r="F467" s="141">
        <v>14.278909987039588</v>
      </c>
      <c r="G467" s="141">
        <v>82.78372685980716</v>
      </c>
      <c r="H467" s="141">
        <v>182.26546772913167</v>
      </c>
      <c r="I467" s="141">
        <v>16.840677376918102</v>
      </c>
      <c r="J467" s="141">
        <v>34.899070111287884</v>
      </c>
      <c r="K467" s="141">
        <v>122.945671610064</v>
      </c>
      <c r="L467" s="141">
        <f>SUMPRODUCT(F467:J467,Inputs!$F$28:$J$28)+Inputs!$L$53*$K467+Inputs!$L$54*($K467+(Moonshot!$I$101-Moonshot!$I$100))</f>
        <v>77.935999062425211</v>
      </c>
      <c r="M467" s="141">
        <f>L467-$K$210</f>
        <v>0.51582919755585976</v>
      </c>
    </row>
    <row r="468" spans="2:13" x14ac:dyDescent="0.2">
      <c r="D468" s="4" t="s">
        <v>2003</v>
      </c>
      <c r="E468" s="168">
        <v>10</v>
      </c>
      <c r="F468" s="141">
        <v>12.830628704706465</v>
      </c>
      <c r="G468" s="141">
        <v>75.606090174559398</v>
      </c>
      <c r="H468" s="141">
        <v>163.56533903715328</v>
      </c>
      <c r="I468" s="141">
        <v>15.458143530852686</v>
      </c>
      <c r="J468" s="141">
        <v>32.788125808871797</v>
      </c>
      <c r="K468" s="141">
        <v>111.75320133856209</v>
      </c>
      <c r="L468" s="141">
        <f>SUMPRODUCT(F468:J468,Inputs!$F$28:$J$28)+Inputs!$L$53*$K468+Inputs!$L$54*($K468+(Moonshot!$I$101-Moonshot!$I$100))</f>
        <v>71.383923263916017</v>
      </c>
      <c r="M468" s="141">
        <f>L468-$K$210</f>
        <v>-6.0362466009533335</v>
      </c>
    </row>
    <row r="469" spans="2:13" x14ac:dyDescent="0.2">
      <c r="D469" s="4" t="s">
        <v>1870</v>
      </c>
      <c r="E469" s="4"/>
      <c r="F469" s="141">
        <f t="shared" ref="F469:K469" si="8">F$18</f>
        <v>14.190657849216866</v>
      </c>
      <c r="G469" s="141">
        <f t="shared" si="8"/>
        <v>82.237886931210411</v>
      </c>
      <c r="H469" s="141">
        <f t="shared" si="8"/>
        <v>181.12115013857618</v>
      </c>
      <c r="I469" s="141">
        <f t="shared" si="8"/>
        <v>16.698088546361145</v>
      </c>
      <c r="J469" s="141">
        <f t="shared" si="8"/>
        <v>34.672453989977669</v>
      </c>
      <c r="K469" s="141">
        <f t="shared" si="8"/>
        <v>122.08638966243501</v>
      </c>
      <c r="L469" s="141">
        <f>$K$210</f>
        <v>77.420169864869351</v>
      </c>
      <c r="M469" s="141"/>
    </row>
    <row r="471" spans="2:13" x14ac:dyDescent="0.2">
      <c r="D471" s="11" t="s">
        <v>2041</v>
      </c>
    </row>
    <row r="472" spans="2:13" x14ac:dyDescent="0.2">
      <c r="D472" s="4"/>
      <c r="E472" s="141">
        <f>Model!$F$100</f>
        <v>82.237886931210411</v>
      </c>
      <c r="F472" s="168">
        <v>4</v>
      </c>
      <c r="G472" s="4" t="s">
        <v>1130</v>
      </c>
      <c r="H472" s="4" t="s">
        <v>1871</v>
      </c>
    </row>
    <row r="473" spans="2:13" ht="25.5" x14ac:dyDescent="0.2">
      <c r="D473" s="36" t="s">
        <v>1872</v>
      </c>
      <c r="E473" s="168">
        <v>21</v>
      </c>
      <c r="F473" s="141">
        <f t="dataTable" ref="F473" dt2D="1" dtr="1" r1="E7" r2="E8" ca="1"/>
        <v>6.71778075068453</v>
      </c>
      <c r="G473" s="73">
        <f>F473*$I$17/$I$18</f>
        <v>113.36773577055408</v>
      </c>
      <c r="H473" s="141">
        <f>F473-$I$18</f>
        <v>-9.980307795676616</v>
      </c>
    </row>
    <row r="474" spans="2:13" ht="25.5" x14ac:dyDescent="0.2">
      <c r="D474" s="36" t="s">
        <v>1873</v>
      </c>
      <c r="E474" s="88">
        <v>0.05</v>
      </c>
      <c r="F474" s="141">
        <f>$K$210+$E$474*($F$473-$I$18)</f>
        <v>76.921154475085515</v>
      </c>
      <c r="G474" s="73">
        <f>$O$459+$E$474*($G$473-$I$17)</f>
        <v>1332.8936942754369</v>
      </c>
      <c r="H474" s="141">
        <f>F474-$K$210</f>
        <v>-0.49901538978383542</v>
      </c>
    </row>
    <row r="475" spans="2:13" x14ac:dyDescent="0.2">
      <c r="D475" s="4"/>
      <c r="E475" s="171"/>
      <c r="F475" s="141"/>
      <c r="G475" s="73"/>
      <c r="H475" s="141"/>
    </row>
    <row r="477" spans="2:13" x14ac:dyDescent="0.2">
      <c r="D477" s="11" t="s">
        <v>2004</v>
      </c>
    </row>
    <row r="478" spans="2:13" x14ac:dyDescent="0.2">
      <c r="B478" s="5" t="s">
        <v>8</v>
      </c>
      <c r="C478" s="5" t="s">
        <v>8</v>
      </c>
      <c r="D478" s="6" t="s">
        <v>1334</v>
      </c>
      <c r="E478" s="95"/>
      <c r="F478" s="95"/>
      <c r="G478" s="95"/>
      <c r="H478" s="95"/>
      <c r="I478" s="95"/>
    </row>
    <row r="479" spans="2:13" x14ac:dyDescent="0.2">
      <c r="D479" s="7" t="s">
        <v>1335</v>
      </c>
      <c r="E479" s="71"/>
    </row>
    <row r="480" spans="2:13" x14ac:dyDescent="0.2">
      <c r="D480" s="7" t="s">
        <v>1336</v>
      </c>
      <c r="E480" s="65"/>
    </row>
    <row r="482" spans="2:9" x14ac:dyDescent="0.2">
      <c r="D482" s="11" t="s">
        <v>1337</v>
      </c>
      <c r="E482" s="1">
        <f>Model!$F$100</f>
        <v>82.237886931210411</v>
      </c>
      <c r="F482" s="70">
        <v>0.08</v>
      </c>
      <c r="G482" s="70">
        <v>0.1</v>
      </c>
      <c r="H482" s="70">
        <v>0.12</v>
      </c>
      <c r="I482" s="65">
        <v>0.15</v>
      </c>
    </row>
    <row r="483" spans="2:9" x14ac:dyDescent="0.2">
      <c r="E483" s="71">
        <v>0.12</v>
      </c>
      <c r="F483" s="74">
        <f t="dataTable" ref="F483:I487" dt2D="1" dtr="1" r1="E479" r2="E480" ca="1"/>
        <v>109.1077288222822</v>
      </c>
      <c r="G483" s="74">
        <v>106.12079663339776</v>
      </c>
      <c r="H483" s="74">
        <v>103.13189699141428</v>
      </c>
      <c r="I483" s="74">
        <v>98.648547528439039</v>
      </c>
    </row>
    <row r="484" spans="2:9" x14ac:dyDescent="0.2">
      <c r="E484" s="71">
        <v>0.15</v>
      </c>
      <c r="F484" s="74">
        <v>101.27523646345429</v>
      </c>
      <c r="G484" s="74">
        <v>98.286336821470798</v>
      </c>
      <c r="H484" s="74">
        <v>95.297437179487318</v>
      </c>
      <c r="I484" s="74">
        <v>90.813800815812797</v>
      </c>
    </row>
    <row r="485" spans="2:9" x14ac:dyDescent="0.2">
      <c r="E485" s="71">
        <v>0.18</v>
      </c>
      <c r="F485" s="74">
        <v>93.440776651527329</v>
      </c>
      <c r="G485" s="74">
        <v>90.45187700954385</v>
      </c>
      <c r="H485" s="74">
        <v>87.462977367560342</v>
      </c>
      <c r="I485" s="74">
        <v>82.974260867303784</v>
      </c>
    </row>
    <row r="486" spans="2:9" x14ac:dyDescent="0.2">
      <c r="E486" s="71">
        <v>0.22</v>
      </c>
      <c r="F486" s="74">
        <v>82.994830235624704</v>
      </c>
      <c r="G486" s="74">
        <v>80.004850985257278</v>
      </c>
      <c r="H486" s="74">
        <v>77.01152696553774</v>
      </c>
      <c r="I486" s="74">
        <v>72.521540935958427</v>
      </c>
    </row>
    <row r="487" spans="2:9" x14ac:dyDescent="0.2">
      <c r="E487" s="65">
        <v>0.26</v>
      </c>
      <c r="F487" s="74">
        <v>72.545455073631459</v>
      </c>
      <c r="G487" s="74">
        <v>69.552131053911907</v>
      </c>
      <c r="H487" s="74">
        <v>66.55880703419237</v>
      </c>
      <c r="I487" s="74">
        <v>62.068821004613092</v>
      </c>
    </row>
    <row r="488" spans="2:9" x14ac:dyDescent="0.2">
      <c r="D488" s="7" t="s">
        <v>1823</v>
      </c>
    </row>
    <row r="489" spans="2:9" x14ac:dyDescent="0.2">
      <c r="D489" s="36" t="s">
        <v>1338</v>
      </c>
      <c r="F489" s="65">
        <v>0.18122916215512699</v>
      </c>
      <c r="G489" s="7" t="s">
        <v>1487</v>
      </c>
    </row>
    <row r="490" spans="2:9" x14ac:dyDescent="0.2">
      <c r="D490" s="4" t="s">
        <v>1046</v>
      </c>
      <c r="E490" s="14">
        <f>Model!$F$99</f>
        <v>1415.584379662298</v>
      </c>
    </row>
    <row r="491" spans="2:9" x14ac:dyDescent="0.2">
      <c r="D491" s="4" t="s">
        <v>1047</v>
      </c>
      <c r="F491" s="224">
        <f>Model!$F$99</f>
        <v>1415.584379662298</v>
      </c>
    </row>
    <row r="492" spans="2:9" x14ac:dyDescent="0.2">
      <c r="E492" s="216">
        <f>F489</f>
        <v>0.18122916215512699</v>
      </c>
      <c r="F492" s="224">
        <f t="dataTable" ref="F492" dt2D="0" dtr="0" r1="E480" ca="1"/>
        <v>1499.9999999999998</v>
      </c>
    </row>
    <row r="494" spans="2:9" x14ac:dyDescent="0.2">
      <c r="B494" s="5" t="s">
        <v>8</v>
      </c>
      <c r="C494" s="5" t="s">
        <v>8</v>
      </c>
      <c r="D494" s="6" t="s">
        <v>1339</v>
      </c>
      <c r="E494" s="95"/>
      <c r="F494" s="95"/>
      <c r="G494" s="95"/>
      <c r="H494" s="95"/>
      <c r="I494" s="95"/>
    </row>
    <row r="495" spans="2:9" x14ac:dyDescent="0.2">
      <c r="D495" s="7" t="s">
        <v>1340</v>
      </c>
      <c r="E495" s="65"/>
    </row>
    <row r="496" spans="2:9" x14ac:dyDescent="0.2">
      <c r="D496" s="11" t="s">
        <v>1341</v>
      </c>
      <c r="F496" s="131">
        <v>2028</v>
      </c>
      <c r="G496" s="131">
        <v>2030</v>
      </c>
      <c r="H496" s="132">
        <v>2032</v>
      </c>
    </row>
    <row r="497" spans="3:10" x14ac:dyDescent="0.2">
      <c r="D497" s="4" t="s">
        <v>5</v>
      </c>
      <c r="E497" s="84">
        <f>Model!$F$100</f>
        <v>82.237886931210411</v>
      </c>
      <c r="F497" s="85">
        <f t="dataTable" ref="F497:H499" dt2D="0" dtr="1" r1="E495" ca="1"/>
        <v>90.296717630307754</v>
      </c>
      <c r="G497" s="85">
        <v>79.751122789068518</v>
      </c>
      <c r="H497" s="85">
        <v>80.162878617215341</v>
      </c>
    </row>
    <row r="498" spans="3:10" x14ac:dyDescent="0.2">
      <c r="D498" s="4" t="s">
        <v>4</v>
      </c>
      <c r="E498" s="19">
        <f>Model!$F$99</f>
        <v>1415.584379662298</v>
      </c>
      <c r="F498" s="86">
        <v>1554.3033482749963</v>
      </c>
      <c r="G498" s="86">
        <v>1372.7789938859717</v>
      </c>
      <c r="H498" s="86">
        <v>1379.866665278199</v>
      </c>
    </row>
    <row r="499" spans="3:10" x14ac:dyDescent="0.2">
      <c r="D499" s="4" t="s">
        <v>1122</v>
      </c>
      <c r="E499" s="19">
        <f>Model!$F$101</f>
        <v>410.53137216965064</v>
      </c>
      <c r="F499" s="86">
        <v>514.08384953716529</v>
      </c>
      <c r="G499" s="86">
        <v>354.8515471240155</v>
      </c>
      <c r="H499" s="86">
        <v>250.28934045211153</v>
      </c>
    </row>
    <row r="500" spans="3:10" x14ac:dyDescent="0.2">
      <c r="D500" s="7" t="s">
        <v>2005</v>
      </c>
    </row>
    <row r="502" spans="3:10" x14ac:dyDescent="0.2">
      <c r="D502" s="11" t="s">
        <v>2042</v>
      </c>
    </row>
    <row r="503" spans="3:10" x14ac:dyDescent="0.2">
      <c r="D503" s="4" t="s">
        <v>5</v>
      </c>
      <c r="E503" s="148">
        <f>Sensitivities!$F$234</f>
        <v>82.237886931210411</v>
      </c>
      <c r="F503" s="148">
        <f>Sensitivities!$G$234</f>
        <v>103.22085904605684</v>
      </c>
      <c r="G503" s="148">
        <f>Sensitivities!$H$234</f>
        <v>121.72252979487672</v>
      </c>
      <c r="H503" s="148">
        <f>Sensitivities!$I$234</f>
        <v>181.12115013857618</v>
      </c>
      <c r="I503" s="148">
        <f>Sensitivities!$J$234</f>
        <v>122.08635684955809</v>
      </c>
      <c r="J503" s="148">
        <f>Sensitivities!$K$234</f>
        <v>143.7891638591081</v>
      </c>
    </row>
    <row r="504" spans="3:10" ht="25.5" x14ac:dyDescent="0.2">
      <c r="D504" s="36" t="s">
        <v>1539</v>
      </c>
      <c r="F504" s="146">
        <f>Sensitivities!F503-Sensitivities!E503</f>
        <v>20.982972114846433</v>
      </c>
      <c r="G504" s="146">
        <f>Sensitivities!G503-Sensitivities!F503</f>
        <v>18.501670748819876</v>
      </c>
      <c r="H504" s="146">
        <f>Sensitivities!H503-Sensitivities!G503</f>
        <v>59.398620343699463</v>
      </c>
    </row>
    <row r="505" spans="3:10" ht="25.5" x14ac:dyDescent="0.2">
      <c r="D505" s="36" t="s">
        <v>1540</v>
      </c>
      <c r="H505" s="146">
        <f>Sensitivities!H503-Sensitivities!J503</f>
        <v>37.331986279468083</v>
      </c>
      <c r="I505" s="146">
        <f>Sensitivities!I503-Sensitivities!E503</f>
        <v>39.848469918347675</v>
      </c>
      <c r="J505" s="146">
        <f>Sensitivities!J503-Sensitivities!I503</f>
        <v>21.702807009550014</v>
      </c>
    </row>
    <row r="506" spans="3:10" x14ac:dyDescent="0.2">
      <c r="C506" s="10" t="s">
        <v>8</v>
      </c>
      <c r="D506" s="10" t="s">
        <v>2138</v>
      </c>
    </row>
    <row r="507" spans="3:10" x14ac:dyDescent="0.2">
      <c r="F507" s="10">
        <v>1</v>
      </c>
    </row>
    <row r="508" spans="3:10" x14ac:dyDescent="0.2">
      <c r="D508" s="10" t="s">
        <v>4</v>
      </c>
      <c r="E508" s="226">
        <f>$E$151</f>
        <v>1415.584379662298</v>
      </c>
      <c r="F508" s="10">
        <f t="dataTable" ref="F508:F520" dt2D="0" dtr="1" r1="E120"/>
        <v>1415.584379662298</v>
      </c>
    </row>
    <row r="509" spans="3:10" x14ac:dyDescent="0.2">
      <c r="D509" s="10" t="s">
        <v>5</v>
      </c>
      <c r="E509" s="225">
        <f>$E$152</f>
        <v>82.237886931210411</v>
      </c>
      <c r="F509" s="10">
        <v>82.237886931210411</v>
      </c>
    </row>
    <row r="510" spans="3:10" x14ac:dyDescent="0.2">
      <c r="D510" s="10" t="s">
        <v>911</v>
      </c>
      <c r="E510" s="226">
        <f>$E$153</f>
        <v>127.82748148511058</v>
      </c>
      <c r="F510" s="10">
        <v>127.8274814851106</v>
      </c>
    </row>
    <row r="511" spans="3:10" x14ac:dyDescent="0.2">
      <c r="D511" s="10" t="s">
        <v>1128</v>
      </c>
      <c r="E511" s="226">
        <f>$E$154</f>
        <v>194.85302775523087</v>
      </c>
      <c r="F511" s="10">
        <v>194.85302775523093</v>
      </c>
    </row>
    <row r="512" spans="3:10" x14ac:dyDescent="0.2">
      <c r="D512" s="10" t="s">
        <v>1122</v>
      </c>
      <c r="E512" s="226">
        <f>$E$155</f>
        <v>410.53137216965064</v>
      </c>
      <c r="F512" s="10">
        <v>410.53137216965069</v>
      </c>
    </row>
    <row r="513" spans="4:6" x14ac:dyDescent="0.2">
      <c r="D513" s="10" t="s">
        <v>1319</v>
      </c>
      <c r="E513" s="226">
        <f>$E$156</f>
        <v>737.80325502079654</v>
      </c>
      <c r="F513" s="10">
        <v>737.80325502079654</v>
      </c>
    </row>
    <row r="514" spans="4:6" x14ac:dyDescent="0.2">
      <c r="D514" s="10" t="s">
        <v>1440</v>
      </c>
      <c r="E514" s="177">
        <f>$E$159</f>
        <v>5.9994689892712387E-2</v>
      </c>
      <c r="F514" s="10">
        <v>5.9994689892712387E-2</v>
      </c>
    </row>
    <row r="515" spans="4:6" x14ac:dyDescent="0.2">
      <c r="D515" s="10" t="s">
        <v>1323</v>
      </c>
      <c r="E515" s="177">
        <f>$E$160</f>
        <v>0.43666882645446181</v>
      </c>
      <c r="F515" s="10">
        <v>0.43666882645446181</v>
      </c>
    </row>
    <row r="516" spans="4:6" x14ac:dyDescent="0.2">
      <c r="D516" s="10" t="s">
        <v>2139</v>
      </c>
      <c r="E516" s="177">
        <f>$E$161</f>
        <v>0.25783147702839776</v>
      </c>
      <c r="F516" s="10">
        <v>0.25783147702839776</v>
      </c>
    </row>
    <row r="517" spans="4:6" x14ac:dyDescent="0.2">
      <c r="D517" s="10" t="s">
        <v>1499</v>
      </c>
      <c r="E517" s="226">
        <f>$E$164</f>
        <v>10.038359034120813</v>
      </c>
      <c r="F517" s="10">
        <v>10.038359034120827</v>
      </c>
    </row>
    <row r="518" spans="4:6" x14ac:dyDescent="0.2">
      <c r="D518" s="10" t="s">
        <v>1328</v>
      </c>
      <c r="E518" s="226">
        <f>$E$167</f>
        <v>133.3394383798726</v>
      </c>
      <c r="F518" s="10">
        <v>133.3394383798726</v>
      </c>
    </row>
    <row r="519" spans="4:6" x14ac:dyDescent="0.2">
      <c r="D519" s="10" t="s">
        <v>2140</v>
      </c>
      <c r="E519" s="226">
        <f>$E$168</f>
        <v>0</v>
      </c>
      <c r="F519" s="10">
        <v>0</v>
      </c>
    </row>
    <row r="520" spans="4:6" x14ac:dyDescent="0.2">
      <c r="D520" s="10" t="s">
        <v>2141</v>
      </c>
      <c r="E520" s="175">
        <f>$E$157</f>
        <v>735.11907759088444</v>
      </c>
      <c r="F520" s="10">
        <v>735.11907759088444</v>
      </c>
    </row>
    <row r="522" spans="4:6" x14ac:dyDescent="0.2">
      <c r="D522" s="10" t="s">
        <v>2136</v>
      </c>
      <c r="E522" s="10">
        <v>0.43666882645446181</v>
      </c>
    </row>
    <row r="523" spans="4:6" x14ac:dyDescent="0.2">
      <c r="D523" s="10" t="s">
        <v>2137</v>
      </c>
      <c r="E523" s="10">
        <f>'Your case'!$E$8/$E$522*(Inputs!$G$18*Inputs!$G$19+(1-Inputs!$G$18)*Inputs!$G$20)</f>
        <v>0.44999999999999996</v>
      </c>
    </row>
  </sheetData>
  <conditionalFormatting sqref="I66:M72">
    <cfRule type="expression" dxfId="10" priority="8" stopIfTrue="1">
      <formula>I86&gt;0.001</formula>
    </cfRule>
  </conditionalFormatting>
  <conditionalFormatting sqref="I76:M82">
    <cfRule type="expression" dxfId="7" priority="2">
      <formula>I86&gt;0.001</formula>
    </cfRule>
  </conditionalFormatting>
  <conditionalFormatting sqref="I86:M92">
    <cfRule type="cellIs" dxfId="6" priority="3" operator="greaterThan">
      <formula>0.001</formula>
    </cfRule>
  </conditionalFormatting>
  <pageMargins left="0.75" right="0.75" top="1" bottom="1" header="0.5" footer="0.5"/>
  <pageSetup scale="43" fitToHeight="0" orientation="landscape"/>
  <headerFooter>
    <oddFooter>&amp;C&amp;A, page &amp;P of &amp;N</oddFooter>
  </headerFooter>
  <extLst>
    <ext xmlns:x14="http://schemas.microsoft.com/office/spreadsheetml/2009/9/main" uri="{78C0D931-6437-407d-A8EE-F0AAD7539E65}">
      <x14:conditionalFormattings>
        <x14:conditionalFormatting xmlns:xm="http://schemas.microsoft.com/office/excel/2006/main">
          <x14:cfRule type="cellIs" priority="9" operator="greaterThanOrEqual" id="{00000000-000E-0000-0900-000004000000}">
            <xm:f>Inputs!$K$257</xm:f>
            <x14:dxf>
              <fill>
                <patternFill patternType="solid">
                  <fgColor rgb="FFA9D08E"/>
                </patternFill>
              </fill>
            </x14:dxf>
          </x14:cfRule>
          <x14:cfRule type="cellIs" priority="10" operator="greaterThanOrEqual" id="{00000000-000E-0000-0900-000005000000}">
            <xm:f>Inputs!$K$256</xm:f>
            <x14:dxf>
              <fill>
                <patternFill patternType="solid">
                  <fgColor rgb="FFE2EFDA"/>
                </patternFill>
              </fill>
            </x14:dxf>
          </x14:cfRule>
          <xm:sqref>I66:M72</xm:sqref>
        </x14:conditionalFormatting>
        <x14:conditionalFormatting xmlns:xm="http://schemas.microsoft.com/office/excel/2006/main">
          <x14:cfRule type="cellIs" priority="11" operator="greaterThanOrEqual" id="{00000000-000E-0000-0900-000006000000}">
            <xm:f>Inputs!$K$257</xm:f>
            <x14:dxf>
              <fill>
                <patternFill patternType="solid">
                  <fgColor rgb="FFA9D08E"/>
                </patternFill>
              </fill>
            </x14:dxf>
          </x14:cfRule>
          <x14:cfRule type="cellIs" priority="12" operator="greaterThanOrEqual" id="{00000000-000E-0000-0900-000007000000}">
            <xm:f>Inputs!$K$256</xm:f>
            <x14:dxf>
              <fill>
                <patternFill patternType="solid">
                  <fgColor rgb="FFE2EFDA"/>
                </patternFill>
              </fill>
            </x14:dxf>
          </x14:cfRule>
          <xm:sqref>I98:M102</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FFC000"/>
    <pageSetUpPr fitToPage="1"/>
  </sheetPr>
  <dimension ref="A1:J113"/>
  <sheetViews>
    <sheetView showGridLines="0" workbookViewId="0">
      <pane xSplit="4" ySplit="4" topLeftCell="E5" activePane="bottomRight" state="frozenSplit"/>
      <selection pane="topRight" activeCell="E1" sqref="E1"/>
      <selection pane="bottomLeft" activeCell="A5" sqref="A5"/>
      <selection pane="bottomRight"/>
    </sheetView>
  </sheetViews>
  <sheetFormatPr defaultRowHeight="12.75" x14ac:dyDescent="0.2"/>
  <cols>
    <col min="1" max="1" width="2" style="10" customWidth="1"/>
    <col min="2" max="3" width="3.28515625" style="10" customWidth="1"/>
    <col min="4" max="4" width="62.7109375" style="10" customWidth="1"/>
    <col min="5" max="5" width="7.7109375" style="10" customWidth="1"/>
    <col min="6" max="6" width="13.7109375" style="10" customWidth="1"/>
    <col min="7" max="9" width="11.7109375" style="10" customWidth="1"/>
    <col min="10" max="10" width="70.7109375" style="10" customWidth="1"/>
    <col min="11" max="16384" width="9.140625" style="10"/>
  </cols>
  <sheetData>
    <row r="1" spans="1:10" ht="18" x14ac:dyDescent="0.25">
      <c r="A1" s="178"/>
    </row>
    <row r="2" spans="1:10" ht="15" x14ac:dyDescent="0.25">
      <c r="A2" s="179"/>
      <c r="D2" s="11" t="s">
        <v>1981</v>
      </c>
    </row>
    <row r="3" spans="1:10" x14ac:dyDescent="0.2">
      <c r="D3" s="7" t="s">
        <v>2285</v>
      </c>
    </row>
    <row r="4" spans="1:10" x14ac:dyDescent="0.2">
      <c r="D4" s="7" t="s">
        <v>2263</v>
      </c>
    </row>
    <row r="6" spans="1:10" x14ac:dyDescent="0.2">
      <c r="B6" s="5" t="s">
        <v>8</v>
      </c>
      <c r="C6" s="5" t="s">
        <v>8</v>
      </c>
      <c r="D6" s="6" t="s">
        <v>1703</v>
      </c>
      <c r="E6" s="95"/>
      <c r="F6" s="95"/>
      <c r="G6" s="95"/>
      <c r="H6" s="95"/>
      <c r="I6" s="95"/>
      <c r="J6" s="95"/>
    </row>
    <row r="7" spans="1:10" x14ac:dyDescent="0.2">
      <c r="D7" s="4" t="s">
        <v>1704</v>
      </c>
      <c r="E7" s="4" t="s">
        <v>47</v>
      </c>
      <c r="F7" s="152">
        <f>Model!$Q$160</f>
        <v>0.39657892862469968</v>
      </c>
      <c r="J7" s="4" t="s">
        <v>1705</v>
      </c>
    </row>
    <row r="8" spans="1:10" x14ac:dyDescent="0.2">
      <c r="D8" s="4" t="s">
        <v>1706</v>
      </c>
      <c r="E8" s="4" t="s">
        <v>47</v>
      </c>
      <c r="F8" s="154">
        <f>Sensitivities!$G$217</f>
        <v>11.363905192330774</v>
      </c>
      <c r="J8" s="4" t="s">
        <v>1707</v>
      </c>
    </row>
    <row r="9" spans="1:10" x14ac:dyDescent="0.2">
      <c r="D9" s="4" t="s">
        <v>1708</v>
      </c>
      <c r="E9" s="4" t="s">
        <v>47</v>
      </c>
      <c r="F9" s="155">
        <v>20</v>
      </c>
      <c r="J9" s="4" t="s">
        <v>2153</v>
      </c>
    </row>
    <row r="10" spans="1:10" x14ac:dyDescent="0.2">
      <c r="D10" s="4" t="s">
        <v>1709</v>
      </c>
      <c r="E10" s="4" t="s">
        <v>1710</v>
      </c>
      <c r="F10" s="104">
        <f>Summary!$F$10</f>
        <v>17213.287360440001</v>
      </c>
      <c r="J10" s="36" t="s">
        <v>1982</v>
      </c>
    </row>
    <row r="11" spans="1:10" x14ac:dyDescent="0.2">
      <c r="D11" s="4" t="s">
        <v>1711</v>
      </c>
      <c r="E11" s="4" t="s">
        <v>1712</v>
      </c>
      <c r="F11" s="110">
        <f>Sensitivities!$G$24</f>
        <v>737.80325502079654</v>
      </c>
      <c r="J11" s="4" t="s">
        <v>1713</v>
      </c>
    </row>
    <row r="13" spans="1:10" x14ac:dyDescent="0.2">
      <c r="B13" s="5" t="s">
        <v>8</v>
      </c>
      <c r="C13" s="5" t="s">
        <v>8</v>
      </c>
      <c r="D13" s="6" t="s">
        <v>1714</v>
      </c>
      <c r="E13" s="95"/>
      <c r="F13" s="95"/>
      <c r="G13" s="95"/>
      <c r="H13" s="95"/>
      <c r="I13" s="95"/>
      <c r="J13" s="95"/>
    </row>
    <row r="14" spans="1:10" ht="38.25" x14ac:dyDescent="0.2">
      <c r="D14" s="94" t="s">
        <v>1719</v>
      </c>
      <c r="E14" s="156"/>
      <c r="F14" s="157" t="s">
        <v>1715</v>
      </c>
      <c r="G14" s="157" t="s">
        <v>1716</v>
      </c>
      <c r="H14" s="157" t="s">
        <v>1717</v>
      </c>
      <c r="I14" s="157" t="s">
        <v>1718</v>
      </c>
      <c r="J14" s="94" t="s">
        <v>1720</v>
      </c>
    </row>
    <row r="15" spans="1:10" x14ac:dyDescent="0.2">
      <c r="D15" s="4" t="s">
        <v>1721</v>
      </c>
      <c r="E15" s="4" t="s">
        <v>1712</v>
      </c>
      <c r="F15" s="98">
        <v>2000</v>
      </c>
      <c r="J15" s="4" t="s">
        <v>1722</v>
      </c>
    </row>
    <row r="16" spans="1:10" x14ac:dyDescent="0.2">
      <c r="D16" s="4" t="s">
        <v>1723</v>
      </c>
      <c r="E16" s="4" t="s">
        <v>54</v>
      </c>
      <c r="F16" s="100">
        <v>0.04</v>
      </c>
      <c r="J16" s="4" t="s">
        <v>35</v>
      </c>
    </row>
    <row r="17" spans="4:10" ht="25.5" x14ac:dyDescent="0.2">
      <c r="D17" s="4" t="s">
        <v>1724</v>
      </c>
      <c r="E17" s="4" t="s">
        <v>1712</v>
      </c>
      <c r="F17" s="99">
        <f>$F$15*(1+$F$16)^10</f>
        <v>2960.4885698366893</v>
      </c>
      <c r="J17" s="36" t="s">
        <v>1725</v>
      </c>
    </row>
    <row r="18" spans="4:10" x14ac:dyDescent="0.2">
      <c r="D18" s="4" t="s">
        <v>1726</v>
      </c>
      <c r="E18" s="4" t="s">
        <v>1712</v>
      </c>
      <c r="F18" s="98">
        <v>3000</v>
      </c>
      <c r="J18" s="4" t="s">
        <v>35</v>
      </c>
    </row>
    <row r="19" spans="4:10" x14ac:dyDescent="0.2">
      <c r="D19" s="4" t="s">
        <v>1727</v>
      </c>
      <c r="E19" s="4" t="s">
        <v>54</v>
      </c>
      <c r="F19" s="100">
        <v>0.1</v>
      </c>
      <c r="J19" s="4" t="s">
        <v>35</v>
      </c>
    </row>
    <row r="20" spans="4:10" ht="25.5" x14ac:dyDescent="0.2">
      <c r="D20" s="4" t="s">
        <v>1728</v>
      </c>
      <c r="E20" s="4" t="s">
        <v>1712</v>
      </c>
      <c r="F20" s="97">
        <f>$F$18*$F$19</f>
        <v>300</v>
      </c>
      <c r="G20" s="158">
        <v>0.3</v>
      </c>
      <c r="H20" s="158">
        <v>3</v>
      </c>
      <c r="I20" s="96">
        <v>12</v>
      </c>
      <c r="J20" s="36" t="s">
        <v>2264</v>
      </c>
    </row>
    <row r="21" spans="4:10" x14ac:dyDescent="0.2">
      <c r="D21" s="4" t="s">
        <v>1729</v>
      </c>
      <c r="E21" s="4" t="s">
        <v>54</v>
      </c>
      <c r="F21" s="150">
        <v>0.35</v>
      </c>
      <c r="G21" s="106">
        <v>-0.4</v>
      </c>
      <c r="H21" s="106">
        <v>0.2</v>
      </c>
      <c r="I21" s="101">
        <v>0.4</v>
      </c>
    </row>
    <row r="22" spans="4:10" x14ac:dyDescent="0.2">
      <c r="D22" s="4" t="s">
        <v>1730</v>
      </c>
      <c r="E22" s="4" t="s">
        <v>1712</v>
      </c>
      <c r="F22" s="97">
        <f>F20*F21</f>
        <v>105</v>
      </c>
      <c r="G22" s="158">
        <v>-0.12</v>
      </c>
      <c r="H22" s="158">
        <v>0.6</v>
      </c>
      <c r="I22" s="96">
        <v>4.8</v>
      </c>
    </row>
    <row r="23" spans="4:10" ht="25.5" x14ac:dyDescent="0.2">
      <c r="D23" s="4" t="s">
        <v>1731</v>
      </c>
      <c r="E23" s="4" t="s">
        <v>1712</v>
      </c>
      <c r="F23" s="158">
        <v>100</v>
      </c>
      <c r="G23" s="158">
        <v>1</v>
      </c>
      <c r="H23" s="158">
        <v>4</v>
      </c>
      <c r="I23" s="96">
        <v>20</v>
      </c>
      <c r="J23" s="36" t="s">
        <v>1732</v>
      </c>
    </row>
    <row r="24" spans="4:10" x14ac:dyDescent="0.2">
      <c r="D24" s="4" t="s">
        <v>1733</v>
      </c>
      <c r="E24" s="4" t="s">
        <v>827</v>
      </c>
      <c r="F24" s="108">
        <v>2027</v>
      </c>
      <c r="G24" s="108">
        <v>2027</v>
      </c>
      <c r="H24" s="108">
        <v>2027</v>
      </c>
      <c r="I24" s="9">
        <v>2027</v>
      </c>
      <c r="J24" s="4" t="s">
        <v>1801</v>
      </c>
    </row>
    <row r="25" spans="4:10" x14ac:dyDescent="0.2">
      <c r="D25" s="4" t="s">
        <v>1734</v>
      </c>
      <c r="E25" s="4" t="s">
        <v>827</v>
      </c>
      <c r="F25" s="108">
        <v>2036</v>
      </c>
      <c r="G25" s="108">
        <v>2029</v>
      </c>
      <c r="H25" s="108">
        <v>2034</v>
      </c>
      <c r="I25" s="9">
        <v>2035</v>
      </c>
    </row>
    <row r="26" spans="4:10" ht="25.5" x14ac:dyDescent="0.2">
      <c r="D26" s="4" t="s">
        <v>1735</v>
      </c>
      <c r="E26" s="4" t="s">
        <v>827</v>
      </c>
      <c r="F26" s="131">
        <v>2031</v>
      </c>
      <c r="G26" s="162" t="s">
        <v>1798</v>
      </c>
      <c r="H26" s="162" t="s">
        <v>1798</v>
      </c>
      <c r="I26" s="163">
        <v>2035</v>
      </c>
      <c r="J26" s="36" t="s">
        <v>1800</v>
      </c>
    </row>
    <row r="27" spans="4:10" x14ac:dyDescent="0.2">
      <c r="D27" s="4" t="s">
        <v>1736</v>
      </c>
      <c r="E27" s="4" t="s">
        <v>1712</v>
      </c>
      <c r="F27" s="97">
        <f>F23*SUMPRODUCT(('Revenue Engine'!$G$26:$P$26&gt;=F24)*('Revenue Engine'!$G$26:$P$26&lt;=F25)*Model!$H$82:$Q$82)/(F25-F24+1)</f>
        <v>65.219912647111286</v>
      </c>
      <c r="G27" s="97">
        <f>G23*SUMPRODUCT(('Revenue Engine'!$G$26:$P$26&gt;=G24)*('Revenue Engine'!$G$26:$P$26&lt;=G25)*Model!$H$82:$Q$82)/(G25-G24+1)</f>
        <v>0.87294501018367932</v>
      </c>
      <c r="H27" s="97">
        <f>H23*SUMPRODUCT(('Revenue Engine'!$G$26:$P$26&gt;=H24)*('Revenue Engine'!$G$26:$P$26&lt;=H25)*Model!$H$82:$Q$82)/(H25-H24+1)</f>
        <v>2.8255229891245186</v>
      </c>
      <c r="I27" s="97">
        <f>I23*SUMPRODUCT(('Revenue Engine'!$G$26:$P$26&gt;=I24)*('Revenue Engine'!$G$26:$P$26&lt;=I25)*Model!$H$82:$Q$82)/(I25-I24+1)</f>
        <v>13.570316177331271</v>
      </c>
    </row>
    <row r="28" spans="4:10" x14ac:dyDescent="0.2">
      <c r="D28" s="4" t="s">
        <v>1737</v>
      </c>
      <c r="E28" s="4" t="s">
        <v>1738</v>
      </c>
      <c r="F28" s="160">
        <f>(F22*$F$8*$F$7-F27)*MperB/$F$10</f>
        <v>23.701576587751568</v>
      </c>
      <c r="G28" s="146">
        <f>(G22*$F$8*$F$7-G27)*MperB/$F$10</f>
        <v>-8.2131159616428182E-2</v>
      </c>
      <c r="H28" s="146">
        <f>(H22*$F$8*$F$7-H27)*MperB/$F$10</f>
        <v>-7.0591850864849884E-3</v>
      </c>
      <c r="I28" s="146">
        <f>(I22*$F$8*$F$7-I27)*MperB/$F$10</f>
        <v>0.46834595364968196</v>
      </c>
    </row>
    <row r="29" spans="4:10" x14ac:dyDescent="0.2">
      <c r="D29" s="4" t="s">
        <v>1739</v>
      </c>
      <c r="E29" s="4" t="s">
        <v>1738</v>
      </c>
      <c r="F29" s="160">
        <f>(F22*$F$9*$F$7-F27)*MperB/$F$10</f>
        <v>44.593215775207796</v>
      </c>
      <c r="G29" s="146">
        <f>(G22*$F$9*$F$7-G27)*MperB/$F$10</f>
        <v>-0.10600731868780672</v>
      </c>
      <c r="H29" s="146">
        <f>(H22*$F$9*$F$7-H27)*MperB/$F$10</f>
        <v>0.11232161027040775</v>
      </c>
      <c r="I29" s="146">
        <f>(I22*$F$9*$F$7-I27)*MperB/$F$10</f>
        <v>1.4233923165048239</v>
      </c>
    </row>
    <row r="30" spans="4:10" x14ac:dyDescent="0.2">
      <c r="D30" s="4" t="s">
        <v>1740</v>
      </c>
      <c r="E30" s="4" t="s">
        <v>1712</v>
      </c>
      <c r="F30" s="99">
        <f>F22*$F$8*$F$7-F27</f>
        <v>407.98204870044469</v>
      </c>
      <c r="G30" s="99">
        <f>G22*$F$8*$F$7-G27</f>
        <v>-1.4137472517237433</v>
      </c>
      <c r="H30" s="99">
        <f>H22*$F$8*$F$7-H27</f>
        <v>-0.12151178142419861</v>
      </c>
      <c r="I30" s="99">
        <f>I22*$F$8*$F$7-I27</f>
        <v>8.0617734842712885</v>
      </c>
    </row>
    <row r="31" spans="4:10" x14ac:dyDescent="0.2">
      <c r="D31" s="4" t="s">
        <v>1741</v>
      </c>
      <c r="E31" s="4" t="s">
        <v>1712</v>
      </c>
      <c r="F31" s="99">
        <f>F22*$F$9*$F$7-F27</f>
        <v>767.59583746475801</v>
      </c>
      <c r="G31" s="99">
        <f>G22*$F$9*$F$7-G27</f>
        <v>-1.8247344388829585</v>
      </c>
      <c r="H31" s="99">
        <f>H22*$F$9*$F$7-H27</f>
        <v>1.9334241543718775</v>
      </c>
      <c r="I31" s="99">
        <f>I22*$F$9*$F$7-I27</f>
        <v>24.501260970639898</v>
      </c>
    </row>
    <row r="32" spans="4:10" x14ac:dyDescent="0.2">
      <c r="D32" s="4" t="s">
        <v>1742</v>
      </c>
      <c r="E32" s="4" t="s">
        <v>1743</v>
      </c>
      <c r="F32" s="147">
        <f>F20/I20</f>
        <v>25</v>
      </c>
      <c r="G32" s="109">
        <f>F20/$F$11</f>
        <v>0.40661246471668638</v>
      </c>
      <c r="H32" s="159"/>
      <c r="I32" s="159"/>
    </row>
    <row r="33" spans="2:10" x14ac:dyDescent="0.2">
      <c r="D33" s="164" t="s">
        <v>1715</v>
      </c>
      <c r="F33" s="365" t="s">
        <v>1744</v>
      </c>
      <c r="G33" s="365"/>
      <c r="H33" s="365"/>
      <c r="I33" s="365"/>
      <c r="J33" s="365"/>
    </row>
    <row r="34" spans="2:10" x14ac:dyDescent="0.2">
      <c r="D34" s="164" t="s">
        <v>1745</v>
      </c>
      <c r="F34" s="365" t="s">
        <v>1746</v>
      </c>
      <c r="G34" s="365"/>
      <c r="H34" s="365"/>
      <c r="I34" s="365"/>
      <c r="J34" s="365"/>
    </row>
    <row r="36" spans="2:10" x14ac:dyDescent="0.2">
      <c r="B36" s="5" t="s">
        <v>8</v>
      </c>
      <c r="C36" s="5" t="s">
        <v>8</v>
      </c>
      <c r="D36" s="6" t="s">
        <v>1747</v>
      </c>
      <c r="E36" s="95"/>
      <c r="F36" s="95"/>
      <c r="G36" s="95"/>
      <c r="H36" s="95"/>
      <c r="I36" s="95"/>
      <c r="J36" s="95"/>
    </row>
    <row r="37" spans="2:10" ht="38.25" x14ac:dyDescent="0.2">
      <c r="D37" s="94" t="s">
        <v>1719</v>
      </c>
      <c r="E37" s="156"/>
      <c r="F37" s="157" t="s">
        <v>1715</v>
      </c>
      <c r="G37" s="157" t="s">
        <v>1716</v>
      </c>
      <c r="H37" s="157" t="s">
        <v>1717</v>
      </c>
      <c r="I37" s="157" t="s">
        <v>1718</v>
      </c>
      <c r="J37" s="94" t="s">
        <v>1720</v>
      </c>
    </row>
    <row r="38" spans="2:10" ht="25.5" x14ac:dyDescent="0.2">
      <c r="D38" s="4" t="s">
        <v>1748</v>
      </c>
      <c r="E38" s="4" t="s">
        <v>1712</v>
      </c>
      <c r="F38" s="98">
        <v>3000</v>
      </c>
      <c r="J38" s="36" t="s">
        <v>2265</v>
      </c>
    </row>
    <row r="39" spans="2:10" x14ac:dyDescent="0.2">
      <c r="D39" s="4" t="s">
        <v>1749</v>
      </c>
      <c r="E39" s="4" t="s">
        <v>54</v>
      </c>
      <c r="F39" s="100">
        <v>0.15</v>
      </c>
      <c r="J39" s="4" t="s">
        <v>35</v>
      </c>
    </row>
    <row r="40" spans="2:10" x14ac:dyDescent="0.2">
      <c r="D40" s="4" t="s">
        <v>1750</v>
      </c>
      <c r="E40" s="4" t="s">
        <v>1712</v>
      </c>
      <c r="F40" s="97">
        <f>$F$38*$F$39</f>
        <v>450</v>
      </c>
      <c r="J40" s="4" t="s">
        <v>34</v>
      </c>
    </row>
    <row r="41" spans="2:10" x14ac:dyDescent="0.2">
      <c r="D41" s="4" t="s">
        <v>1751</v>
      </c>
      <c r="E41" s="4" t="s">
        <v>54</v>
      </c>
      <c r="F41" s="88">
        <v>0.25</v>
      </c>
      <c r="J41" s="36" t="s">
        <v>2266</v>
      </c>
    </row>
    <row r="42" spans="2:10" ht="25.5" x14ac:dyDescent="0.2">
      <c r="D42" s="4" t="s">
        <v>1728</v>
      </c>
      <c r="E42" s="4" t="s">
        <v>1712</v>
      </c>
      <c r="F42" s="97">
        <f>$F$40*(1-$F$41)</f>
        <v>337.5</v>
      </c>
      <c r="G42" s="158">
        <v>0</v>
      </c>
      <c r="H42" s="158">
        <v>0</v>
      </c>
      <c r="I42" s="96">
        <v>30</v>
      </c>
      <c r="J42" s="36" t="s">
        <v>1752</v>
      </c>
    </row>
    <row r="43" spans="2:10" x14ac:dyDescent="0.2">
      <c r="D43" s="4" t="s">
        <v>1729</v>
      </c>
      <c r="E43" s="4" t="s">
        <v>54</v>
      </c>
      <c r="F43" s="150">
        <v>0.25</v>
      </c>
      <c r="G43" s="106">
        <v>0.1</v>
      </c>
      <c r="H43" s="106">
        <v>0.15</v>
      </c>
      <c r="I43" s="101">
        <v>0.25</v>
      </c>
    </row>
    <row r="44" spans="2:10" x14ac:dyDescent="0.2">
      <c r="D44" s="4" t="s">
        <v>1730</v>
      </c>
      <c r="E44" s="4" t="s">
        <v>1712</v>
      </c>
      <c r="F44" s="97">
        <f>F42*F43</f>
        <v>84.375</v>
      </c>
      <c r="G44" s="158">
        <v>0</v>
      </c>
      <c r="H44" s="158">
        <v>0.24</v>
      </c>
      <c r="I44" s="96">
        <v>7.5</v>
      </c>
      <c r="J44" s="4" t="s">
        <v>1753</v>
      </c>
    </row>
    <row r="45" spans="2:10" x14ac:dyDescent="0.2">
      <c r="D45" s="4" t="s">
        <v>1731</v>
      </c>
      <c r="E45" s="4" t="s">
        <v>1712</v>
      </c>
      <c r="F45" s="158">
        <v>10</v>
      </c>
      <c r="G45" s="158">
        <v>0.3</v>
      </c>
      <c r="H45" s="158">
        <v>0.5</v>
      </c>
      <c r="I45" s="96">
        <v>5</v>
      </c>
    </row>
    <row r="46" spans="2:10" x14ac:dyDescent="0.2">
      <c r="D46" s="4" t="s">
        <v>1733</v>
      </c>
      <c r="E46" s="4" t="s">
        <v>827</v>
      </c>
      <c r="F46" s="108">
        <v>2027</v>
      </c>
      <c r="G46" s="108">
        <v>2027</v>
      </c>
      <c r="H46" s="108">
        <v>2027</v>
      </c>
      <c r="I46" s="9">
        <v>2027</v>
      </c>
      <c r="J46" s="4" t="s">
        <v>1801</v>
      </c>
    </row>
    <row r="47" spans="2:10" x14ac:dyDescent="0.2">
      <c r="D47" s="4" t="s">
        <v>1734</v>
      </c>
      <c r="E47" s="4" t="s">
        <v>827</v>
      </c>
      <c r="F47" s="108">
        <v>2032</v>
      </c>
      <c r="G47" s="108">
        <v>2027</v>
      </c>
      <c r="H47" s="108">
        <v>2030</v>
      </c>
      <c r="I47" s="9">
        <v>2032</v>
      </c>
    </row>
    <row r="48" spans="2:10" ht="25.5" x14ac:dyDescent="0.2">
      <c r="D48" s="4" t="s">
        <v>1735</v>
      </c>
      <c r="E48" s="4" t="s">
        <v>827</v>
      </c>
      <c r="F48" s="131">
        <v>2028</v>
      </c>
      <c r="G48" s="162" t="s">
        <v>1798</v>
      </c>
      <c r="H48" s="162" t="s">
        <v>1798</v>
      </c>
      <c r="I48" s="163" t="s">
        <v>1798</v>
      </c>
      <c r="J48" s="36" t="s">
        <v>1799</v>
      </c>
    </row>
    <row r="49" spans="2:10" x14ac:dyDescent="0.2">
      <c r="D49" s="4" t="s">
        <v>1736</v>
      </c>
      <c r="E49" s="4" t="s">
        <v>1712</v>
      </c>
      <c r="F49" s="97">
        <f>F45*SUMPRODUCT(('Revenue Engine'!$G$26:$P$26&gt;=F46)*('Revenue Engine'!$G$26:$P$26&lt;=F47)*Model!$H$82:$Q$82)/(F47-F46+1)</f>
        <v>7.6718894311656243</v>
      </c>
      <c r="G49" s="97">
        <f>G45*SUMPRODUCT(('Revenue Engine'!$G$26:$P$26&gt;=G46)*('Revenue Engine'!$G$26:$P$26&lt;=G47)*Model!$H$82:$Q$82)/(G47-G46+1)</f>
        <v>0.28644268533026662</v>
      </c>
      <c r="H49" s="97">
        <f>H45*SUMPRODUCT(('Revenue Engine'!$G$26:$P$26&gt;=H46)*('Revenue Engine'!$G$26:$P$26&lt;=H47)*Model!$H$82:$Q$82)/(H47-H46+1)</f>
        <v>0.41778705545327777</v>
      </c>
      <c r="I49" s="97">
        <f>I45*SUMPRODUCT(('Revenue Engine'!$G$26:$P$26&gt;=I46)*('Revenue Engine'!$G$26:$P$26&lt;=I47)*Model!$H$82:$Q$82)/(I47-I46+1)</f>
        <v>3.8359447155828121</v>
      </c>
    </row>
    <row r="50" spans="2:10" x14ac:dyDescent="0.2">
      <c r="D50" s="4" t="s">
        <v>1737</v>
      </c>
      <c r="E50" s="4" t="s">
        <v>1738</v>
      </c>
      <c r="F50" s="160">
        <f>(F44*$F$8*$F$7-F49)*MperB/$F$10</f>
        <v>21.644888559053722</v>
      </c>
      <c r="G50" s="146">
        <f>(G44*$F$8*$F$7-G49)*MperB/$F$10</f>
        <v>-1.6640789137615644E-2</v>
      </c>
      <c r="H50" s="146">
        <f>(H44*$F$8*$F$7-H49)*MperB/$F$10</f>
        <v>3.8564244802677942E-2</v>
      </c>
      <c r="I50" s="146">
        <f>(I44*$F$8*$F$7-I49)*MperB/$F$10</f>
        <v>1.7407596093199282</v>
      </c>
    </row>
    <row r="51" spans="2:10" x14ac:dyDescent="0.2">
      <c r="D51" s="4" t="s">
        <v>1739</v>
      </c>
      <c r="E51" s="4" t="s">
        <v>1738</v>
      </c>
      <c r="F51" s="160">
        <f>(F44*$F$9*$F$7-F49)*MperB/$F$10</f>
        <v>38.432812906116766</v>
      </c>
      <c r="G51" s="146">
        <f>(G44*$F$9*$F$7-G49)*MperB/$F$10</f>
        <v>-1.6640789137615644E-2</v>
      </c>
      <c r="H51" s="146">
        <f>(H44*$F$9*$F$7-H49)*MperB/$F$10</f>
        <v>8.6316562945435035E-2</v>
      </c>
      <c r="I51" s="146">
        <f>(I44*$F$9*$F$7-I49)*MperB/$F$10</f>
        <v>3.2330195512810871</v>
      </c>
    </row>
    <row r="52" spans="2:10" x14ac:dyDescent="0.2">
      <c r="D52" s="4" t="s">
        <v>1740</v>
      </c>
      <c r="E52" s="4" t="s">
        <v>1712</v>
      </c>
      <c r="F52" s="99">
        <f>F44*$F$8*$F$7-F49</f>
        <v>372.57968665169187</v>
      </c>
      <c r="G52" s="99">
        <f>G44*$F$8*$F$7-G49</f>
        <v>-0.28644268533026662</v>
      </c>
      <c r="H52" s="99">
        <f>H44*$F$8*$F$7-H49</f>
        <v>0.66381742762685014</v>
      </c>
      <c r="I52" s="99">
        <f>I44*$F$8*$F$7-I49</f>
        <v>29.964195380671192</v>
      </c>
    </row>
    <row r="53" spans="2:10" x14ac:dyDescent="0.2">
      <c r="D53" s="4" t="s">
        <v>1741</v>
      </c>
      <c r="E53" s="4" t="s">
        <v>1712</v>
      </c>
      <c r="F53" s="99">
        <f>F44*$F$9*$F$7-F49</f>
        <v>661.55505262301506</v>
      </c>
      <c r="G53" s="99">
        <f>G44*$F$9*$F$7-G49</f>
        <v>-0.28644268533026662</v>
      </c>
      <c r="H53" s="99">
        <f>H44*$F$9*$F$7-H49</f>
        <v>1.4857918019452807</v>
      </c>
      <c r="I53" s="99">
        <f>I44*$F$9*$F$7-I49</f>
        <v>55.650894578122141</v>
      </c>
    </row>
    <row r="54" spans="2:10" x14ac:dyDescent="0.2">
      <c r="D54" s="4" t="s">
        <v>1742</v>
      </c>
      <c r="E54" s="4" t="s">
        <v>1743</v>
      </c>
      <c r="F54" s="147">
        <f>F42/I42</f>
        <v>11.25</v>
      </c>
      <c r="G54" s="109">
        <f>F42/$F$11</f>
        <v>0.45743902280627219</v>
      </c>
      <c r="H54" s="159"/>
      <c r="I54" s="159"/>
    </row>
    <row r="55" spans="2:10" x14ac:dyDescent="0.2">
      <c r="D55" s="164" t="s">
        <v>1715</v>
      </c>
      <c r="F55" s="365" t="s">
        <v>1754</v>
      </c>
      <c r="G55" s="365"/>
      <c r="H55" s="365"/>
      <c r="I55" s="365"/>
      <c r="J55" s="365"/>
    </row>
    <row r="56" spans="2:10" x14ac:dyDescent="0.2">
      <c r="D56" s="164" t="s">
        <v>1745</v>
      </c>
      <c r="F56" s="365" t="s">
        <v>1755</v>
      </c>
      <c r="G56" s="365"/>
      <c r="H56" s="365"/>
      <c r="I56" s="365"/>
      <c r="J56" s="365"/>
    </row>
    <row r="58" spans="2:10" x14ac:dyDescent="0.2">
      <c r="B58" s="5" t="s">
        <v>8</v>
      </c>
      <c r="C58" s="5" t="s">
        <v>8</v>
      </c>
      <c r="D58" s="6" t="s">
        <v>1756</v>
      </c>
      <c r="E58" s="95"/>
      <c r="F58" s="95"/>
      <c r="G58" s="95"/>
      <c r="H58" s="95"/>
      <c r="I58" s="95"/>
      <c r="J58" s="95"/>
    </row>
    <row r="59" spans="2:10" ht="38.25" x14ac:dyDescent="0.2">
      <c r="D59" s="94" t="s">
        <v>1719</v>
      </c>
      <c r="E59" s="156"/>
      <c r="F59" s="157" t="s">
        <v>1715</v>
      </c>
      <c r="G59" s="157" t="s">
        <v>1716</v>
      </c>
      <c r="H59" s="157" t="s">
        <v>1717</v>
      </c>
      <c r="I59" s="157" t="s">
        <v>1718</v>
      </c>
      <c r="J59" s="94" t="s">
        <v>1720</v>
      </c>
    </row>
    <row r="60" spans="2:10" x14ac:dyDescent="0.2">
      <c r="D60" s="4" t="s">
        <v>1757</v>
      </c>
      <c r="E60" s="4" t="s">
        <v>1712</v>
      </c>
      <c r="F60" s="98">
        <v>30000</v>
      </c>
      <c r="J60" s="36" t="s">
        <v>2267</v>
      </c>
    </row>
    <row r="61" spans="2:10" x14ac:dyDescent="0.2">
      <c r="D61" s="4" t="s">
        <v>1758</v>
      </c>
      <c r="E61" s="4" t="s">
        <v>54</v>
      </c>
      <c r="F61" s="101">
        <v>0.05</v>
      </c>
      <c r="J61" s="4" t="s">
        <v>2268</v>
      </c>
    </row>
    <row r="62" spans="2:10" ht="25.5" x14ac:dyDescent="0.2">
      <c r="D62" s="4" t="s">
        <v>1759</v>
      </c>
      <c r="E62" s="4" t="s">
        <v>54</v>
      </c>
      <c r="F62" s="100">
        <v>0.2</v>
      </c>
      <c r="J62" s="36" t="s">
        <v>2269</v>
      </c>
    </row>
    <row r="63" spans="2:10" x14ac:dyDescent="0.2">
      <c r="D63" s="4" t="s">
        <v>1760</v>
      </c>
      <c r="E63" s="4" t="s">
        <v>1712</v>
      </c>
      <c r="F63" s="97">
        <f>$F$60*$F$61*$F$62</f>
        <v>300</v>
      </c>
      <c r="J63" s="4" t="s">
        <v>34</v>
      </c>
    </row>
    <row r="64" spans="2:10" x14ac:dyDescent="0.2">
      <c r="D64" s="4" t="s">
        <v>1761</v>
      </c>
      <c r="E64" s="4" t="s">
        <v>54</v>
      </c>
      <c r="F64" s="100">
        <v>0.6</v>
      </c>
      <c r="J64" s="4" t="s">
        <v>2270</v>
      </c>
    </row>
    <row r="65" spans="4:10" ht="25.5" x14ac:dyDescent="0.2">
      <c r="D65" s="4" t="s">
        <v>1728</v>
      </c>
      <c r="E65" s="4" t="s">
        <v>1712</v>
      </c>
      <c r="F65" s="97">
        <f>$F$63*$F$64</f>
        <v>180</v>
      </c>
      <c r="G65" s="158">
        <v>0.04</v>
      </c>
      <c r="H65" s="158">
        <v>1</v>
      </c>
      <c r="I65" s="96">
        <v>13</v>
      </c>
      <c r="J65" s="36" t="s">
        <v>1762</v>
      </c>
    </row>
    <row r="66" spans="4:10" x14ac:dyDescent="0.2">
      <c r="D66" s="4" t="s">
        <v>1729</v>
      </c>
      <c r="E66" s="4" t="s">
        <v>54</v>
      </c>
      <c r="F66" s="150">
        <v>0.3</v>
      </c>
      <c r="G66" s="106">
        <v>0</v>
      </c>
      <c r="H66" s="106">
        <v>0.2</v>
      </c>
      <c r="I66" s="101">
        <v>0.3</v>
      </c>
    </row>
    <row r="67" spans="4:10" x14ac:dyDescent="0.2">
      <c r="D67" s="4" t="s">
        <v>1730</v>
      </c>
      <c r="E67" s="4" t="s">
        <v>1712</v>
      </c>
      <c r="F67" s="97">
        <f>F65*F66</f>
        <v>54</v>
      </c>
      <c r="G67" s="158">
        <v>0</v>
      </c>
      <c r="H67" s="158">
        <v>0.2</v>
      </c>
      <c r="I67" s="96">
        <v>3.9</v>
      </c>
    </row>
    <row r="68" spans="4:10" x14ac:dyDescent="0.2">
      <c r="D68" s="4" t="s">
        <v>1731</v>
      </c>
      <c r="E68" s="4" t="s">
        <v>1712</v>
      </c>
      <c r="F68" s="158">
        <v>25</v>
      </c>
      <c r="G68" s="158">
        <v>1</v>
      </c>
      <c r="H68" s="158">
        <v>5</v>
      </c>
      <c r="I68" s="96">
        <v>25</v>
      </c>
      <c r="J68" s="4" t="s">
        <v>1763</v>
      </c>
    </row>
    <row r="69" spans="4:10" x14ac:dyDescent="0.2">
      <c r="D69" s="4" t="s">
        <v>1733</v>
      </c>
      <c r="E69" s="4" t="s">
        <v>827</v>
      </c>
      <c r="F69" s="108">
        <v>2027</v>
      </c>
      <c r="G69" s="108">
        <v>2027</v>
      </c>
      <c r="H69" s="108">
        <v>2027</v>
      </c>
      <c r="I69" s="9">
        <v>2027</v>
      </c>
      <c r="J69" s="4" t="s">
        <v>1801</v>
      </c>
    </row>
    <row r="70" spans="4:10" x14ac:dyDescent="0.2">
      <c r="D70" s="4" t="s">
        <v>1734</v>
      </c>
      <c r="E70" s="4" t="s">
        <v>827</v>
      </c>
      <c r="F70" s="108">
        <v>2032</v>
      </c>
      <c r="G70" s="108">
        <v>2030</v>
      </c>
      <c r="H70" s="108">
        <v>2033</v>
      </c>
      <c r="I70" s="9">
        <v>2032</v>
      </c>
    </row>
    <row r="71" spans="4:10" ht="25.5" x14ac:dyDescent="0.2">
      <c r="D71" s="4" t="s">
        <v>1735</v>
      </c>
      <c r="E71" s="4" t="s">
        <v>827</v>
      </c>
      <c r="F71" s="131">
        <v>2030</v>
      </c>
      <c r="G71" s="162" t="s">
        <v>1798</v>
      </c>
      <c r="H71" s="162" t="s">
        <v>1798</v>
      </c>
      <c r="I71" s="163" t="s">
        <v>1798</v>
      </c>
      <c r="J71" s="36" t="s">
        <v>1799</v>
      </c>
    </row>
    <row r="72" spans="4:10" x14ac:dyDescent="0.2">
      <c r="D72" s="4" t="s">
        <v>1736</v>
      </c>
      <c r="E72" s="4" t="s">
        <v>1712</v>
      </c>
      <c r="F72" s="97">
        <f>F68*SUMPRODUCT(('Revenue Engine'!$G$26:$P$26&gt;=F69)*('Revenue Engine'!$G$26:$P$26&lt;=F70)*Model!$H$82:$Q$82)/(F70-F69+1)</f>
        <v>19.179723577914061</v>
      </c>
      <c r="G72" s="97">
        <f>G68*SUMPRODUCT(('Revenue Engine'!$G$26:$P$26&gt;=G69)*('Revenue Engine'!$G$26:$P$26&lt;=G70)*Model!$H$82:$Q$82)/(G70-G69+1)</f>
        <v>0.83557411090655553</v>
      </c>
      <c r="H72" s="97">
        <f>H68*SUMPRODUCT(('Revenue Engine'!$G$26:$P$26&gt;=H69)*('Revenue Engine'!$G$26:$P$26&lt;=H70)*Model!$H$82:$Q$82)/(H70-H69+1)</f>
        <v>3.6795017107705741</v>
      </c>
      <c r="I72" s="97">
        <f>I68*SUMPRODUCT(('Revenue Engine'!$G$26:$P$26&gt;=I69)*('Revenue Engine'!$G$26:$P$26&lt;=I70)*Model!$H$82:$Q$82)/(I70-I69+1)</f>
        <v>19.179723577914061</v>
      </c>
    </row>
    <row r="73" spans="4:10" x14ac:dyDescent="0.2">
      <c r="D73" s="4" t="s">
        <v>1737</v>
      </c>
      <c r="E73" s="4" t="s">
        <v>1738</v>
      </c>
      <c r="F73" s="160">
        <f>(F67*$F$8*$F$7-F72)*MperB/$F$10</f>
        <v>13.023734538373748</v>
      </c>
      <c r="G73" s="146">
        <f>(G67*$F$8*$F$7-G72)*MperB/$F$10</f>
        <v>-4.8542390155345484E-2</v>
      </c>
      <c r="H73" s="146">
        <f>(H67*$F$8*$F$7-H72)*MperB/$F$10</f>
        <v>-0.16139651789709733</v>
      </c>
      <c r="I73" s="146">
        <f>(I67*$F$8*$F$7-I72)*MperB/$F$10</f>
        <v>-9.3163536649456716E-2</v>
      </c>
    </row>
    <row r="74" spans="4:10" x14ac:dyDescent="0.2">
      <c r="D74" s="4" t="s">
        <v>1739</v>
      </c>
      <c r="E74" s="4" t="s">
        <v>1738</v>
      </c>
      <c r="F74" s="160">
        <f>(F67*$F$9*$F$7-F72)*MperB/$F$10</f>
        <v>23.768006120494096</v>
      </c>
      <c r="G74" s="146">
        <f>(G67*$F$9*$F$7-G72)*MperB/$F$10</f>
        <v>-4.8542390155345484E-2</v>
      </c>
      <c r="H74" s="146">
        <f>(H67*$F$9*$F$7-H72)*MperB/$F$10</f>
        <v>-0.12160291944479976</v>
      </c>
      <c r="I74" s="146">
        <f>(I67*$F$9*$F$7-I72)*MperB/$F$10</f>
        <v>0.68281163317034621</v>
      </c>
    </row>
    <row r="75" spans="4:10" x14ac:dyDescent="0.2">
      <c r="D75" s="4" t="s">
        <v>1740</v>
      </c>
      <c r="E75" s="4" t="s">
        <v>1712</v>
      </c>
      <c r="F75" s="99">
        <f>F67*$F$8*$F$7-F72</f>
        <v>224.18128511511475</v>
      </c>
      <c r="G75" s="99">
        <f>G67*$F$8*$F$7-G72</f>
        <v>-0.83557411090655553</v>
      </c>
      <c r="H75" s="99">
        <f>H67*$F$8*$F$7-H72</f>
        <v>-2.7781646415371339</v>
      </c>
      <c r="I75" s="99">
        <f>I67*$F$8*$F$7-I72</f>
        <v>-1.6036507278619823</v>
      </c>
    </row>
    <row r="76" spans="4:10" x14ac:dyDescent="0.2">
      <c r="D76" s="4" t="s">
        <v>1741</v>
      </c>
      <c r="E76" s="4" t="s">
        <v>1712</v>
      </c>
      <c r="F76" s="99">
        <f>F67*$F$9*$F$7-F72</f>
        <v>409.12551933676161</v>
      </c>
      <c r="G76" s="99">
        <f>G67*$F$9*$F$7-G72</f>
        <v>-0.83557411090655553</v>
      </c>
      <c r="H76" s="99">
        <f>H67*$F$9*$F$7-H72</f>
        <v>-2.0931859962717754</v>
      </c>
      <c r="I76" s="99">
        <f>I67*$F$9*$F$7-I72</f>
        <v>11.753432854812516</v>
      </c>
    </row>
    <row r="77" spans="4:10" x14ac:dyDescent="0.2">
      <c r="D77" s="4" t="s">
        <v>1742</v>
      </c>
      <c r="E77" s="4" t="s">
        <v>1743</v>
      </c>
      <c r="F77" s="147">
        <f>F65/I65</f>
        <v>13.846153846153847</v>
      </c>
      <c r="G77" s="109">
        <f>F65/$F$11</f>
        <v>0.24396747883001182</v>
      </c>
      <c r="H77" s="159"/>
      <c r="I77" s="159"/>
    </row>
    <row r="78" spans="4:10" x14ac:dyDescent="0.2">
      <c r="D78" s="164" t="s">
        <v>1715</v>
      </c>
      <c r="F78" s="365" t="s">
        <v>1764</v>
      </c>
      <c r="G78" s="365"/>
      <c r="H78" s="365"/>
      <c r="I78" s="365"/>
      <c r="J78" s="365"/>
    </row>
    <row r="79" spans="4:10" x14ac:dyDescent="0.2">
      <c r="D79" s="164" t="s">
        <v>1745</v>
      </c>
      <c r="F79" s="365" t="s">
        <v>1765</v>
      </c>
      <c r="G79" s="365"/>
      <c r="H79" s="365"/>
      <c r="I79" s="365"/>
      <c r="J79" s="365"/>
    </row>
    <row r="81" spans="2:10" x14ac:dyDescent="0.2">
      <c r="B81" s="5" t="s">
        <v>8</v>
      </c>
      <c r="C81" s="5" t="s">
        <v>8</v>
      </c>
      <c r="D81" s="6" t="s">
        <v>1766</v>
      </c>
      <c r="E81" s="95"/>
      <c r="F81" s="95"/>
      <c r="G81" s="95"/>
      <c r="H81" s="95"/>
      <c r="I81" s="95"/>
      <c r="J81" s="95"/>
    </row>
    <row r="82" spans="2:10" ht="25.5" x14ac:dyDescent="0.2">
      <c r="D82" s="156"/>
      <c r="E82" s="156"/>
      <c r="F82" s="157" t="s">
        <v>1767</v>
      </c>
      <c r="G82" s="157" t="s">
        <v>1747</v>
      </c>
      <c r="H82" s="157" t="s">
        <v>1756</v>
      </c>
      <c r="I82" s="157" t="s">
        <v>1768</v>
      </c>
    </row>
    <row r="83" spans="2:10" x14ac:dyDescent="0.2">
      <c r="D83" s="4" t="s">
        <v>1769</v>
      </c>
      <c r="E83" s="4"/>
      <c r="F83" s="97">
        <f>$F$20</f>
        <v>300</v>
      </c>
      <c r="G83" s="97">
        <f>$F$42</f>
        <v>337.5</v>
      </c>
      <c r="H83" s="97">
        <f>$F$65</f>
        <v>180</v>
      </c>
      <c r="I83" s="97">
        <f t="shared" ref="I83:I90" si="0">SUM(F83:H83)</f>
        <v>817.5</v>
      </c>
    </row>
    <row r="84" spans="2:10" x14ac:dyDescent="0.2">
      <c r="D84" s="4" t="s">
        <v>1770</v>
      </c>
      <c r="E84" s="4"/>
      <c r="F84" s="97">
        <f>$F$22</f>
        <v>105</v>
      </c>
      <c r="G84" s="97">
        <f>$F$44</f>
        <v>84.375</v>
      </c>
      <c r="H84" s="97">
        <f>$F$67</f>
        <v>54</v>
      </c>
      <c r="I84" s="97">
        <f t="shared" si="0"/>
        <v>243.375</v>
      </c>
    </row>
    <row r="85" spans="2:10" x14ac:dyDescent="0.2">
      <c r="D85" s="4" t="s">
        <v>1771</v>
      </c>
      <c r="E85" s="4"/>
      <c r="F85" s="97">
        <f>$F$23</f>
        <v>100</v>
      </c>
      <c r="G85" s="97">
        <f>$F$45</f>
        <v>10</v>
      </c>
      <c r="H85" s="97">
        <f>$F$68</f>
        <v>25</v>
      </c>
      <c r="I85" s="97">
        <f t="shared" si="0"/>
        <v>135</v>
      </c>
    </row>
    <row r="86" spans="2:10" x14ac:dyDescent="0.2">
      <c r="D86" s="4" t="s">
        <v>1772</v>
      </c>
      <c r="E86" s="4"/>
      <c r="F86" s="97">
        <f>$F$27</f>
        <v>65.219912647111286</v>
      </c>
      <c r="G86" s="97">
        <f>$F$49</f>
        <v>7.6718894311656243</v>
      </c>
      <c r="H86" s="97">
        <f>$F$72</f>
        <v>19.179723577914061</v>
      </c>
      <c r="I86" s="97">
        <f t="shared" si="0"/>
        <v>92.071525656190971</v>
      </c>
    </row>
    <row r="87" spans="2:10" x14ac:dyDescent="0.2">
      <c r="D87" s="4" t="s">
        <v>1773</v>
      </c>
      <c r="E87" s="4"/>
      <c r="F87" s="146">
        <f>$F$28</f>
        <v>23.701576587751568</v>
      </c>
      <c r="G87" s="146">
        <f>$F$50</f>
        <v>21.644888559053722</v>
      </c>
      <c r="H87" s="146">
        <f>$F$73</f>
        <v>13.023734538373748</v>
      </c>
      <c r="I87" s="146">
        <f t="shared" si="0"/>
        <v>58.370199685179031</v>
      </c>
    </row>
    <row r="88" spans="2:10" x14ac:dyDescent="0.2">
      <c r="D88" s="4" t="s">
        <v>1774</v>
      </c>
      <c r="E88" s="4"/>
      <c r="F88" s="146">
        <f>$F$29</f>
        <v>44.593215775207796</v>
      </c>
      <c r="G88" s="146">
        <f>$F$51</f>
        <v>38.432812906116766</v>
      </c>
      <c r="H88" s="146">
        <f>$F$74</f>
        <v>23.768006120494096</v>
      </c>
      <c r="I88" s="146">
        <f t="shared" si="0"/>
        <v>106.79403480181865</v>
      </c>
    </row>
    <row r="89" spans="2:10" x14ac:dyDescent="0.2">
      <c r="D89" s="4" t="s">
        <v>1775</v>
      </c>
      <c r="E89" s="4"/>
      <c r="F89" s="99">
        <f>$F$30</f>
        <v>407.98204870044469</v>
      </c>
      <c r="G89" s="99">
        <f>$F$52</f>
        <v>372.57968665169187</v>
      </c>
      <c r="H89" s="99">
        <f>$F$75</f>
        <v>224.18128511511475</v>
      </c>
      <c r="I89" s="99">
        <f t="shared" si="0"/>
        <v>1004.7430204672513</v>
      </c>
    </row>
    <row r="90" spans="2:10" x14ac:dyDescent="0.2">
      <c r="D90" s="4" t="s">
        <v>1776</v>
      </c>
      <c r="E90" s="4"/>
      <c r="F90" s="99">
        <f>$F$31</f>
        <v>767.59583746475801</v>
      </c>
      <c r="G90" s="99">
        <f>$F$53</f>
        <v>661.55505262301506</v>
      </c>
      <c r="H90" s="99">
        <f>$F$76</f>
        <v>409.12551933676161</v>
      </c>
      <c r="I90" s="99">
        <f t="shared" si="0"/>
        <v>1838.2764094245344</v>
      </c>
    </row>
    <row r="91" spans="2:10" x14ac:dyDescent="0.2">
      <c r="D91" s="36" t="s">
        <v>1777</v>
      </c>
      <c r="E91" s="4"/>
      <c r="F91" s="97">
        <f>G20+G42+G65</f>
        <v>0.33999999999999997</v>
      </c>
      <c r="G91" s="97">
        <f>G22+G44+G67</f>
        <v>-0.12</v>
      </c>
      <c r="H91" s="146">
        <f>G28+G50+G73</f>
        <v>-0.1473143389093893</v>
      </c>
      <c r="I91" s="146">
        <f>G29+G51+G74</f>
        <v>-0.17119049798076785</v>
      </c>
    </row>
    <row r="92" spans="2:10" x14ac:dyDescent="0.2">
      <c r="D92" s="36" t="s">
        <v>1778</v>
      </c>
      <c r="E92" s="4"/>
      <c r="F92" s="97">
        <f>H20+H42+H65</f>
        <v>4</v>
      </c>
      <c r="G92" s="97">
        <f>H22+H44+H67</f>
        <v>1.04</v>
      </c>
      <c r="H92" s="146">
        <f>H28+H50+H73</f>
        <v>-0.12989145818090436</v>
      </c>
      <c r="I92" s="146">
        <f>H29+H51+H74</f>
        <v>7.7035253771043033E-2</v>
      </c>
    </row>
    <row r="93" spans="2:10" x14ac:dyDescent="0.2">
      <c r="D93" s="36" t="s">
        <v>1779</v>
      </c>
      <c r="E93" s="4"/>
      <c r="F93" s="97">
        <f>I20+I42+I65</f>
        <v>55</v>
      </c>
      <c r="G93" s="97">
        <f>I22+I44+I67</f>
        <v>16.2</v>
      </c>
      <c r="H93" s="146">
        <f>I28+I50+I73</f>
        <v>2.1159420263201536</v>
      </c>
      <c r="I93" s="146">
        <f>I29+I51+I74</f>
        <v>5.3392235009562574</v>
      </c>
    </row>
    <row r="95" spans="2:10" x14ac:dyDescent="0.2">
      <c r="B95" s="5" t="s">
        <v>8</v>
      </c>
      <c r="C95" s="5" t="s">
        <v>8</v>
      </c>
      <c r="D95" s="6" t="s">
        <v>1832</v>
      </c>
      <c r="E95" s="95"/>
      <c r="F95" s="95"/>
      <c r="G95" s="95"/>
      <c r="H95" s="95"/>
      <c r="I95" s="95"/>
      <c r="J95" s="95"/>
    </row>
    <row r="96" spans="2:10" x14ac:dyDescent="0.2">
      <c r="F96" s="11" t="s">
        <v>1537</v>
      </c>
      <c r="G96" s="11"/>
      <c r="H96" s="11" t="s">
        <v>1824</v>
      </c>
      <c r="I96" s="11"/>
    </row>
    <row r="97" spans="2:10" ht="38.25" x14ac:dyDescent="0.2">
      <c r="D97" s="156"/>
      <c r="E97" s="156"/>
      <c r="F97" s="157" t="s">
        <v>1780</v>
      </c>
      <c r="G97" s="157" t="s">
        <v>1781</v>
      </c>
      <c r="H97" s="157" t="s">
        <v>1780</v>
      </c>
      <c r="I97" s="157" t="s">
        <v>1781</v>
      </c>
    </row>
    <row r="98" spans="2:10" x14ac:dyDescent="0.2">
      <c r="D98" s="4" t="s">
        <v>1782</v>
      </c>
      <c r="E98" s="4"/>
      <c r="F98" s="161">
        <f>Sensitivities!$H$217</f>
        <v>11.829847885327407</v>
      </c>
      <c r="G98" s="161">
        <f>$F$9</f>
        <v>20</v>
      </c>
      <c r="H98" s="161">
        <f>Sensitivities!$K$217</f>
        <v>11.540244282094536</v>
      </c>
      <c r="I98" s="161">
        <f>$F$9</f>
        <v>20</v>
      </c>
    </row>
    <row r="99" spans="2:10" x14ac:dyDescent="0.2">
      <c r="D99" s="4" t="s">
        <v>1783</v>
      </c>
      <c r="E99" s="4"/>
      <c r="F99" s="99">
        <f>Summary!$G$10</f>
        <v>17557.553107648801</v>
      </c>
      <c r="G99" s="99">
        <f>Summary!$G$10</f>
        <v>17557.553107648801</v>
      </c>
      <c r="H99" s="99">
        <f>Summary!$G$10</f>
        <v>17557.553107648801</v>
      </c>
      <c r="I99" s="99">
        <f>Summary!$G$10</f>
        <v>17557.553107648801</v>
      </c>
    </row>
    <row r="100" spans="2:10" x14ac:dyDescent="0.2">
      <c r="D100" s="4" t="s">
        <v>1784</v>
      </c>
      <c r="E100" s="4"/>
      <c r="F100" s="146">
        <f>Sensitivities!$H$18</f>
        <v>181.12115013857618</v>
      </c>
      <c r="G100" s="146">
        <f>Sensitivities!$H$18</f>
        <v>181.12115013857618</v>
      </c>
      <c r="H100" s="146">
        <f>Sensitivities!$K$18</f>
        <v>122.08638966243501</v>
      </c>
      <c r="I100" s="146">
        <f>Sensitivities!$K$18</f>
        <v>122.08638966243501</v>
      </c>
    </row>
    <row r="101" spans="2:10" x14ac:dyDescent="0.2">
      <c r="D101" s="4" t="s">
        <v>1785</v>
      </c>
      <c r="E101" s="4"/>
      <c r="F101" s="146">
        <f>F$100+($F$22*F$98*$F$7-$F$27)*MperB/F$99</f>
        <v>205.46305397613969</v>
      </c>
      <c r="G101" s="146">
        <f>G$100+($F$22*G$98*$F$7-$F$27)*MperB/G$99</f>
        <v>224.83998913387794</v>
      </c>
      <c r="H101" s="146">
        <f>H$100+($F$22*H$98*$F$7-$F$27)*MperB/H$99</f>
        <v>145.74144824148578</v>
      </c>
      <c r="I101" s="146">
        <f>I$100+($F$22*I$98*$F$7-$F$27)*MperB/I$99</f>
        <v>165.80522865773676</v>
      </c>
    </row>
    <row r="102" spans="2:10" x14ac:dyDescent="0.2">
      <c r="D102" s="4" t="s">
        <v>1786</v>
      </c>
      <c r="E102" s="4"/>
      <c r="F102" s="146">
        <f>F$100+($F$44*F$98*$F$7-$F$49)*MperB/F$99</f>
        <v>203.22962701186668</v>
      </c>
      <c r="G102" s="146">
        <f>G$100+($F$44*G$98*$F$7-$F$49)*MperB/G$99</f>
        <v>218.80037847790635</v>
      </c>
      <c r="H102" s="146">
        <f>H$100+($F$44*H$98*$F$7-$F$49)*MperB/H$99</f>
        <v>143.64293731013493</v>
      </c>
      <c r="I102" s="146">
        <f>I$100+($F$44*I$98*$F$7-$F$49)*MperB/I$99</f>
        <v>159.76561800176518</v>
      </c>
    </row>
    <row r="103" spans="2:10" x14ac:dyDescent="0.2">
      <c r="D103" s="4" t="s">
        <v>1787</v>
      </c>
      <c r="E103" s="4"/>
      <c r="F103" s="146">
        <f>F$100+($F$67*F$98*$F$7-$F$72)*MperB/F$99</f>
        <v>194.45783598510891</v>
      </c>
      <c r="G103" s="146">
        <f>G$100+($F$67*G$98*$F$7-$F$72)*MperB/G$99</f>
        <v>204.42311692337432</v>
      </c>
      <c r="H103" s="146">
        <f>H$100+($F$67*H$98*$F$7-$F$72)*MperB/H$99</f>
        <v>135.06984080458977</v>
      </c>
      <c r="I103" s="146">
        <f>I$100+($F$67*I$98*$F$7-$F$72)*MperB/I$99</f>
        <v>145.38835644723315</v>
      </c>
    </row>
    <row r="104" spans="2:10" x14ac:dyDescent="0.2">
      <c r="D104" s="11" t="s">
        <v>1788</v>
      </c>
      <c r="E104" s="11"/>
      <c r="F104" s="160">
        <f>F$100+SUM(F101:F103)-3*F$100</f>
        <v>240.90821669596289</v>
      </c>
      <c r="G104" s="160">
        <f>G$100+SUM(G101:G103)-3*G$100</f>
        <v>285.82118425800627</v>
      </c>
      <c r="H104" s="160">
        <f>H$100+SUM(H101:H103)-3*H$100</f>
        <v>180.28144703134052</v>
      </c>
      <c r="I104" s="160">
        <f>I$100+SUM(I101:I103)-3*I$100</f>
        <v>226.78642378186504</v>
      </c>
    </row>
    <row r="105" spans="2:10" x14ac:dyDescent="0.2">
      <c r="D105" s="4" t="s">
        <v>1789</v>
      </c>
      <c r="E105" s="4"/>
      <c r="F105" s="99">
        <f>F104*F$99/MperB</f>
        <v>4229.7588087083341</v>
      </c>
      <c r="G105" s="99">
        <f>G104*G$99/MperB</f>
        <v>5018.320621901019</v>
      </c>
      <c r="H105" s="99">
        <f>H104*H$99/MperB</f>
        <v>3165.3010805765352</v>
      </c>
      <c r="I105" s="99">
        <f>I104*I$99/MperB</f>
        <v>3981.8146796438423</v>
      </c>
    </row>
    <row r="107" spans="2:10" x14ac:dyDescent="0.2">
      <c r="B107" s="5" t="s">
        <v>8</v>
      </c>
      <c r="C107" s="5" t="s">
        <v>8</v>
      </c>
      <c r="D107" s="6" t="s">
        <v>2043</v>
      </c>
      <c r="E107" s="95"/>
      <c r="F107" s="95"/>
      <c r="G107" s="95"/>
      <c r="H107" s="95"/>
      <c r="I107" s="95"/>
      <c r="J107" s="95"/>
    </row>
    <row r="108" spans="2:10" ht="25.5" x14ac:dyDescent="0.2">
      <c r="D108" s="4" t="s">
        <v>1802</v>
      </c>
      <c r="F108" s="160">
        <f>$I$101</f>
        <v>165.80522865773676</v>
      </c>
      <c r="J108" s="36" t="s">
        <v>1825</v>
      </c>
    </row>
    <row r="109" spans="2:10" x14ac:dyDescent="0.2">
      <c r="D109" s="4" t="s">
        <v>4</v>
      </c>
      <c r="F109" s="99">
        <f>$I$101*$I$99/MperB</f>
        <v>2911.1341076840658</v>
      </c>
      <c r="J109" s="4" t="s">
        <v>1803</v>
      </c>
    </row>
    <row r="110" spans="2:10" x14ac:dyDescent="0.2">
      <c r="D110" s="4" t="s">
        <v>1826</v>
      </c>
      <c r="F110" s="146">
        <f>$I$100</f>
        <v>122.08638966243501</v>
      </c>
      <c r="J110" s="4" t="s">
        <v>1804</v>
      </c>
    </row>
    <row r="111" spans="2:10" x14ac:dyDescent="0.2">
      <c r="D111" s="4" t="s">
        <v>1805</v>
      </c>
      <c r="F111" s="146">
        <f>$I$101-$I$100</f>
        <v>43.718838995301752</v>
      </c>
      <c r="J111" s="4" t="s">
        <v>1806</v>
      </c>
    </row>
    <row r="112" spans="2:10" x14ac:dyDescent="0.2">
      <c r="D112" s="4" t="s">
        <v>2286</v>
      </c>
      <c r="F112" s="109">
        <f>Inputs!$L$54</f>
        <v>0.05</v>
      </c>
      <c r="J112" s="4" t="s">
        <v>1983</v>
      </c>
    </row>
    <row r="113" spans="4:10" x14ac:dyDescent="0.2">
      <c r="D113" s="4" t="s">
        <v>1807</v>
      </c>
      <c r="F113" s="146">
        <f>$H$101</f>
        <v>145.74144824148578</v>
      </c>
      <c r="J113" s="4" t="s">
        <v>1827</v>
      </c>
    </row>
  </sheetData>
  <mergeCells count="6">
    <mergeCell ref="F79:J79"/>
    <mergeCell ref="F33:J33"/>
    <mergeCell ref="F34:J34"/>
    <mergeCell ref="F55:J55"/>
    <mergeCell ref="F56:J56"/>
    <mergeCell ref="F78:J78"/>
  </mergeCells>
  <pageMargins left="0.7" right="0.7" top="0.75" bottom="0.75" header="0.3" footer="0.3"/>
  <pageSetup scale="61" fitToHeight="0" orientation="landscape"/>
  <headerFooter>
    <oddFooter>&amp;C&amp;A, 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A6A6A6"/>
    <pageSetUpPr fitToPage="1"/>
  </sheetPr>
  <dimension ref="A1:AJ76"/>
  <sheetViews>
    <sheetView showGridLines="0" zoomScale="85" workbookViewId="0">
      <pane xSplit="11" ySplit="7" topLeftCell="L8" activePane="bottomRight" state="frozenSplit"/>
      <selection pane="topRight" activeCell="L1" sqref="L1"/>
      <selection pane="bottomLeft" activeCell="A8" sqref="A8"/>
      <selection pane="bottomRight"/>
    </sheetView>
  </sheetViews>
  <sheetFormatPr defaultRowHeight="12.75" x14ac:dyDescent="0.2"/>
  <cols>
    <col min="1" max="1" width="1.7109375" style="10" customWidth="1"/>
    <col min="2" max="3" width="2.28515625" style="10" customWidth="1"/>
    <col min="4" max="4" width="62.7109375" style="10" customWidth="1"/>
    <col min="5" max="5" width="7.85546875" style="10" customWidth="1"/>
    <col min="6" max="6" width="11" style="10" customWidth="1"/>
    <col min="7" max="8" width="8" style="10" customWidth="1"/>
    <col min="9" max="10" width="10" style="10" customWidth="1"/>
    <col min="11" max="11" width="11.140625" style="10" customWidth="1"/>
    <col min="12" max="13" width="8" style="10" customWidth="1"/>
    <col min="14" max="18" width="8.85546875" style="10" customWidth="1"/>
    <col min="19" max="19" width="9.5703125" style="10" customWidth="1"/>
    <col min="20" max="32" width="8" style="10" customWidth="1"/>
    <col min="33" max="33" width="11" style="10" customWidth="1"/>
    <col min="34" max="34" width="8.28515625" style="10" customWidth="1"/>
    <col min="35" max="35" width="49.85546875" style="10" customWidth="1"/>
    <col min="36" max="36" width="70" style="10" customWidth="1"/>
    <col min="37" max="37" width="2" style="10" customWidth="1"/>
    <col min="38" max="16384" width="9.140625" style="10"/>
  </cols>
  <sheetData>
    <row r="1" spans="1:36" ht="12.75" customHeight="1" x14ac:dyDescent="0.25">
      <c r="A1" s="218" t="s">
        <v>2148</v>
      </c>
    </row>
    <row r="2" spans="1:36" ht="12.75" customHeight="1" x14ac:dyDescent="0.2">
      <c r="A2" s="219" t="s">
        <v>30</v>
      </c>
    </row>
    <row r="3" spans="1:36" ht="12.75" customHeight="1" x14ac:dyDescent="0.2">
      <c r="A3" s="220" t="s">
        <v>500</v>
      </c>
    </row>
    <row r="4" spans="1:36" ht="12.75" customHeight="1" x14ac:dyDescent="0.2">
      <c r="A4" s="214"/>
      <c r="B4" s="214"/>
      <c r="C4" s="214"/>
      <c r="D4" s="214"/>
      <c r="E4" s="214"/>
      <c r="F4" s="214"/>
      <c r="G4" s="214"/>
      <c r="H4" s="214"/>
      <c r="I4" s="214"/>
      <c r="J4" s="214"/>
      <c r="K4" s="214"/>
      <c r="L4" s="214"/>
      <c r="M4" s="214"/>
      <c r="N4" s="214"/>
      <c r="O4" s="214"/>
      <c r="P4" s="214"/>
      <c r="Q4" s="214"/>
      <c r="R4" s="214"/>
      <c r="S4" s="214"/>
      <c r="T4" s="214"/>
      <c r="U4" s="214"/>
      <c r="V4" s="214"/>
      <c r="W4" s="214"/>
      <c r="X4" s="214"/>
      <c r="Y4" s="214"/>
      <c r="Z4" s="214"/>
      <c r="AA4" s="214"/>
      <c r="AB4" s="214"/>
      <c r="AC4" s="214"/>
      <c r="AD4" s="214"/>
      <c r="AE4" s="214"/>
      <c r="AF4" s="214"/>
      <c r="AG4" s="214"/>
      <c r="AH4" s="214"/>
      <c r="AI4" s="214"/>
      <c r="AJ4" s="214"/>
    </row>
    <row r="7" spans="1:36" x14ac:dyDescent="0.2">
      <c r="D7" s="198" t="s">
        <v>501</v>
      </c>
      <c r="E7" s="198" t="s">
        <v>502</v>
      </c>
      <c r="F7" s="198" t="s">
        <v>503</v>
      </c>
      <c r="G7" s="198" t="s">
        <v>504</v>
      </c>
      <c r="H7" s="198" t="s">
        <v>505</v>
      </c>
      <c r="I7" s="198" t="s">
        <v>506</v>
      </c>
      <c r="J7" s="198" t="s">
        <v>507</v>
      </c>
      <c r="K7" s="198" t="s">
        <v>508</v>
      </c>
      <c r="L7" s="199" t="s">
        <v>987</v>
      </c>
      <c r="M7" s="199" t="s">
        <v>977</v>
      </c>
      <c r="N7" s="199" t="s">
        <v>157</v>
      </c>
      <c r="O7" s="199" t="s">
        <v>158</v>
      </c>
      <c r="P7" s="199" t="s">
        <v>159</v>
      </c>
      <c r="Q7" s="199" t="s">
        <v>160</v>
      </c>
      <c r="R7" s="199" t="s">
        <v>161</v>
      </c>
      <c r="S7" s="199" t="s">
        <v>162</v>
      </c>
      <c r="T7" s="199" t="s">
        <v>163</v>
      </c>
      <c r="U7" s="199" t="s">
        <v>164</v>
      </c>
      <c r="V7" s="199" t="s">
        <v>165</v>
      </c>
      <c r="W7" s="199" t="s">
        <v>166</v>
      </c>
      <c r="X7" s="199" t="s">
        <v>509</v>
      </c>
      <c r="Y7" s="199" t="s">
        <v>510</v>
      </c>
      <c r="Z7" s="199" t="s">
        <v>511</v>
      </c>
      <c r="AA7" s="199" t="s">
        <v>512</v>
      </c>
      <c r="AB7" s="199" t="s">
        <v>513</v>
      </c>
      <c r="AC7" s="199" t="s">
        <v>514</v>
      </c>
      <c r="AD7" s="199" t="s">
        <v>515</v>
      </c>
      <c r="AE7" s="199" t="s">
        <v>516</v>
      </c>
      <c r="AF7" s="199" t="s">
        <v>517</v>
      </c>
      <c r="AG7" s="198" t="s">
        <v>486</v>
      </c>
      <c r="AH7" s="198" t="s">
        <v>518</v>
      </c>
      <c r="AI7" s="198" t="s">
        <v>40</v>
      </c>
      <c r="AJ7" s="198" t="s">
        <v>519</v>
      </c>
    </row>
    <row r="8" spans="1:36" x14ac:dyDescent="0.2">
      <c r="D8" s="7" t="s">
        <v>850</v>
      </c>
      <c r="L8" s="61">
        <f>BaseYear</f>
        <v>2026</v>
      </c>
      <c r="M8" s="61">
        <f>ValDate-StubQ/QperY</f>
        <v>2026.75</v>
      </c>
      <c r="N8" s="61">
        <f t="shared" ref="N8:AF8" si="0">M9</f>
        <v>2027</v>
      </c>
      <c r="O8" s="61">
        <f t="shared" si="0"/>
        <v>2028</v>
      </c>
      <c r="P8" s="61">
        <f t="shared" si="0"/>
        <v>2029</v>
      </c>
      <c r="Q8" s="61">
        <f t="shared" si="0"/>
        <v>2030</v>
      </c>
      <c r="R8" s="61">
        <f t="shared" si="0"/>
        <v>2031</v>
      </c>
      <c r="S8" s="61">
        <f t="shared" si="0"/>
        <v>2032</v>
      </c>
      <c r="T8" s="61">
        <f t="shared" si="0"/>
        <v>2033</v>
      </c>
      <c r="U8" s="61">
        <f t="shared" si="0"/>
        <v>2034</v>
      </c>
      <c r="V8" s="61">
        <f t="shared" si="0"/>
        <v>2035</v>
      </c>
      <c r="W8" s="61">
        <f t="shared" si="0"/>
        <v>2036</v>
      </c>
      <c r="X8" s="61">
        <f t="shared" si="0"/>
        <v>2037</v>
      </c>
      <c r="Y8" s="61">
        <f t="shared" si="0"/>
        <v>2038</v>
      </c>
      <c r="Z8" s="61">
        <f t="shared" si="0"/>
        <v>2039</v>
      </c>
      <c r="AA8" s="61">
        <f t="shared" si="0"/>
        <v>2040</v>
      </c>
      <c r="AB8" s="61">
        <f t="shared" si="0"/>
        <v>2041</v>
      </c>
      <c r="AC8" s="61">
        <f t="shared" si="0"/>
        <v>2042</v>
      </c>
      <c r="AD8" s="61">
        <f t="shared" si="0"/>
        <v>2043</v>
      </c>
      <c r="AE8" s="61">
        <f t="shared" si="0"/>
        <v>2044</v>
      </c>
      <c r="AF8" s="61">
        <f t="shared" si="0"/>
        <v>2045</v>
      </c>
    </row>
    <row r="9" spans="1:36" x14ac:dyDescent="0.2">
      <c r="D9" s="7" t="s">
        <v>520</v>
      </c>
      <c r="L9" s="62">
        <f>M8</f>
        <v>2026.75</v>
      </c>
      <c r="M9" s="62">
        <f>ValDate</f>
        <v>2027</v>
      </c>
      <c r="N9" s="62">
        <f t="shared" ref="N9:AF9" si="1">N8+1</f>
        <v>2028</v>
      </c>
      <c r="O9" s="62">
        <f t="shared" si="1"/>
        <v>2029</v>
      </c>
      <c r="P9" s="62">
        <f t="shared" si="1"/>
        <v>2030</v>
      </c>
      <c r="Q9" s="62">
        <f t="shared" si="1"/>
        <v>2031</v>
      </c>
      <c r="R9" s="62">
        <f t="shared" si="1"/>
        <v>2032</v>
      </c>
      <c r="S9" s="62">
        <f t="shared" si="1"/>
        <v>2033</v>
      </c>
      <c r="T9" s="62">
        <f t="shared" si="1"/>
        <v>2034</v>
      </c>
      <c r="U9" s="62">
        <f t="shared" si="1"/>
        <v>2035</v>
      </c>
      <c r="V9" s="62">
        <f t="shared" si="1"/>
        <v>2036</v>
      </c>
      <c r="W9" s="62">
        <f t="shared" si="1"/>
        <v>2037</v>
      </c>
      <c r="X9" s="62">
        <f t="shared" si="1"/>
        <v>2038</v>
      </c>
      <c r="Y9" s="62">
        <f t="shared" si="1"/>
        <v>2039</v>
      </c>
      <c r="Z9" s="62">
        <f t="shared" si="1"/>
        <v>2040</v>
      </c>
      <c r="AA9" s="62">
        <f t="shared" si="1"/>
        <v>2041</v>
      </c>
      <c r="AB9" s="62">
        <f t="shared" si="1"/>
        <v>2042</v>
      </c>
      <c r="AC9" s="62">
        <f t="shared" si="1"/>
        <v>2043</v>
      </c>
      <c r="AD9" s="62">
        <f t="shared" si="1"/>
        <v>2044</v>
      </c>
      <c r="AE9" s="62">
        <f t="shared" si="1"/>
        <v>2045</v>
      </c>
      <c r="AF9" s="62">
        <f t="shared" si="1"/>
        <v>2046</v>
      </c>
    </row>
    <row r="10" spans="1:36" x14ac:dyDescent="0.2">
      <c r="D10" s="7" t="s">
        <v>521</v>
      </c>
      <c r="L10" s="74">
        <f t="shared" ref="L10:AF10" si="2">L9-L8</f>
        <v>0.75</v>
      </c>
      <c r="M10" s="74">
        <f t="shared" si="2"/>
        <v>0.25</v>
      </c>
      <c r="N10" s="74">
        <f t="shared" si="2"/>
        <v>1</v>
      </c>
      <c r="O10" s="74">
        <f t="shared" si="2"/>
        <v>1</v>
      </c>
      <c r="P10" s="74">
        <f t="shared" si="2"/>
        <v>1</v>
      </c>
      <c r="Q10" s="74">
        <f t="shared" si="2"/>
        <v>1</v>
      </c>
      <c r="R10" s="74">
        <f t="shared" si="2"/>
        <v>1</v>
      </c>
      <c r="S10" s="74">
        <f t="shared" si="2"/>
        <v>1</v>
      </c>
      <c r="T10" s="74">
        <f t="shared" si="2"/>
        <v>1</v>
      </c>
      <c r="U10" s="74">
        <f t="shared" si="2"/>
        <v>1</v>
      </c>
      <c r="V10" s="74">
        <f t="shared" si="2"/>
        <v>1</v>
      </c>
      <c r="W10" s="74">
        <f t="shared" si="2"/>
        <v>1</v>
      </c>
      <c r="X10" s="74">
        <f t="shared" si="2"/>
        <v>1</v>
      </c>
      <c r="Y10" s="74">
        <f t="shared" si="2"/>
        <v>1</v>
      </c>
      <c r="Z10" s="74">
        <f t="shared" si="2"/>
        <v>1</v>
      </c>
      <c r="AA10" s="74">
        <f t="shared" si="2"/>
        <v>1</v>
      </c>
      <c r="AB10" s="74">
        <f t="shared" si="2"/>
        <v>1</v>
      </c>
      <c r="AC10" s="74">
        <f t="shared" si="2"/>
        <v>1</v>
      </c>
      <c r="AD10" s="74">
        <f t="shared" si="2"/>
        <v>1</v>
      </c>
      <c r="AE10" s="74">
        <f t="shared" si="2"/>
        <v>1</v>
      </c>
      <c r="AF10" s="74">
        <f t="shared" si="2"/>
        <v>1</v>
      </c>
    </row>
    <row r="11" spans="1:36" x14ac:dyDescent="0.2">
      <c r="D11" s="7" t="s">
        <v>981</v>
      </c>
      <c r="L11" s="86">
        <f t="shared" ref="L11:AF11" si="3">MAX(0,ROUNDDOWN(L8,0)-BaseYear)</f>
        <v>0</v>
      </c>
      <c r="M11" s="86">
        <f t="shared" si="3"/>
        <v>0</v>
      </c>
      <c r="N11" s="86">
        <f t="shared" si="3"/>
        <v>1</v>
      </c>
      <c r="O11" s="86">
        <f t="shared" si="3"/>
        <v>2</v>
      </c>
      <c r="P11" s="86">
        <f t="shared" si="3"/>
        <v>3</v>
      </c>
      <c r="Q11" s="86">
        <f t="shared" si="3"/>
        <v>4</v>
      </c>
      <c r="R11" s="86">
        <f t="shared" si="3"/>
        <v>5</v>
      </c>
      <c r="S11" s="86">
        <f t="shared" si="3"/>
        <v>6</v>
      </c>
      <c r="T11" s="86">
        <f t="shared" si="3"/>
        <v>7</v>
      </c>
      <c r="U11" s="86">
        <f t="shared" si="3"/>
        <v>8</v>
      </c>
      <c r="V11" s="86">
        <f t="shared" si="3"/>
        <v>9</v>
      </c>
      <c r="W11" s="86">
        <f t="shared" si="3"/>
        <v>10</v>
      </c>
      <c r="X11" s="86">
        <f t="shared" si="3"/>
        <v>11</v>
      </c>
      <c r="Y11" s="86">
        <f t="shared" si="3"/>
        <v>12</v>
      </c>
      <c r="Z11" s="86">
        <f t="shared" si="3"/>
        <v>13</v>
      </c>
      <c r="AA11" s="86">
        <f t="shared" si="3"/>
        <v>14</v>
      </c>
      <c r="AB11" s="86">
        <f t="shared" si="3"/>
        <v>15</v>
      </c>
      <c r="AC11" s="86">
        <f t="shared" si="3"/>
        <v>16</v>
      </c>
      <c r="AD11" s="86">
        <f t="shared" si="3"/>
        <v>17</v>
      </c>
      <c r="AE11" s="86">
        <f t="shared" si="3"/>
        <v>18</v>
      </c>
      <c r="AF11" s="86">
        <f t="shared" si="3"/>
        <v>19</v>
      </c>
    </row>
    <row r="12" spans="1:36" x14ac:dyDescent="0.2">
      <c r="D12" s="7" t="s">
        <v>522</v>
      </c>
      <c r="L12" s="74">
        <f t="shared" ref="L12:AF12" si="4">IF(L8&lt;ValDate,0,(L8+L9)/2-ValDate)</f>
        <v>0</v>
      </c>
      <c r="M12" s="74">
        <f t="shared" si="4"/>
        <v>0</v>
      </c>
      <c r="N12" s="74">
        <f t="shared" si="4"/>
        <v>0.5</v>
      </c>
      <c r="O12" s="74">
        <f t="shared" si="4"/>
        <v>1.5</v>
      </c>
      <c r="P12" s="74">
        <f t="shared" si="4"/>
        <v>2.5</v>
      </c>
      <c r="Q12" s="74">
        <f t="shared" si="4"/>
        <v>3.5</v>
      </c>
      <c r="R12" s="74">
        <f t="shared" si="4"/>
        <v>4.5</v>
      </c>
      <c r="S12" s="74">
        <f t="shared" si="4"/>
        <v>5.5</v>
      </c>
      <c r="T12" s="74">
        <f t="shared" si="4"/>
        <v>6.5</v>
      </c>
      <c r="U12" s="74">
        <f t="shared" si="4"/>
        <v>7.5</v>
      </c>
      <c r="V12" s="74">
        <f t="shared" si="4"/>
        <v>8.5</v>
      </c>
      <c r="W12" s="74">
        <f t="shared" si="4"/>
        <v>9.5</v>
      </c>
      <c r="X12" s="74">
        <f t="shared" si="4"/>
        <v>10.5</v>
      </c>
      <c r="Y12" s="74">
        <f t="shared" si="4"/>
        <v>11.5</v>
      </c>
      <c r="Z12" s="74">
        <f t="shared" si="4"/>
        <v>12.5</v>
      </c>
      <c r="AA12" s="74">
        <f t="shared" si="4"/>
        <v>13.5</v>
      </c>
      <c r="AB12" s="74">
        <f t="shared" si="4"/>
        <v>14.5</v>
      </c>
      <c r="AC12" s="74">
        <f t="shared" si="4"/>
        <v>15.5</v>
      </c>
      <c r="AD12" s="74">
        <f t="shared" si="4"/>
        <v>16.5</v>
      </c>
      <c r="AE12" s="74">
        <f t="shared" si="4"/>
        <v>17.5</v>
      </c>
      <c r="AF12" s="74">
        <f t="shared" si="4"/>
        <v>18.5</v>
      </c>
    </row>
    <row r="15" spans="1:36" x14ac:dyDescent="0.2">
      <c r="D15" s="4" t="s">
        <v>523</v>
      </c>
      <c r="E15" s="13" t="str">
        <f>'Filing Data'!$E$8</f>
        <v>TOP</v>
      </c>
      <c r="F15" s="14">
        <f>'Filing Data'!$F$8</f>
        <v>121.3</v>
      </c>
      <c r="G15" s="15">
        <f>'Filing Data'!$G$8</f>
        <v>2026.25</v>
      </c>
      <c r="H15" s="15">
        <f>'Filing Data'!$H$8</f>
        <v>2033.58</v>
      </c>
      <c r="I15" s="15">
        <f>'Filing Data'!$I$8</f>
        <v>1.5</v>
      </c>
      <c r="J15" s="74">
        <f t="shared" ref="J15:J33" si="5">H15-G15</f>
        <v>7.3299999999999272</v>
      </c>
      <c r="K15" s="238">
        <f t="shared" ref="K15:K33" si="6">IF(I15=0,1/J15,1/(J15-I15/2))</f>
        <v>0.15197568389057919</v>
      </c>
      <c r="L15" s="73">
        <f t="shared" ref="L15:U24" si="7">$F15*((IF($I15=0,MAX(0,MIN($J15,L$9-$G15))/$J15,$K15*IF(MAX(0,MIN($J15,L$9-$G15))&lt;=$I15,MAX(0,MIN($J15,L$9-$G15))^2/(2*$I15),$I15/2+MAX(0,MIN($J15,L$9-$G15))-$I15)))-(IF($I15=0,MAX(0,MIN($J15,L$8-$G15))/$J15,$K15*IF(MAX(0,MIN($J15,L$8-$G15))&lt;=$I15,MAX(0,MIN($J15,L$8-$G15))^2/(2*$I15),$I15/2+MAX(0,MIN($J15,L$8-$G15))-$I15))))</f>
        <v>1.5362208713272711</v>
      </c>
      <c r="M15" s="73">
        <f t="shared" si="7"/>
        <v>1.9202760891590891</v>
      </c>
      <c r="N15" s="73">
        <f t="shared" si="7"/>
        <v>14.978153495440896</v>
      </c>
      <c r="O15" s="73">
        <f t="shared" si="7"/>
        <v>18.434650455927255</v>
      </c>
      <c r="P15" s="73">
        <f t="shared" si="7"/>
        <v>18.434650455927255</v>
      </c>
      <c r="Q15" s="73">
        <f t="shared" si="7"/>
        <v>18.434650455927255</v>
      </c>
      <c r="R15" s="73">
        <f t="shared" si="7"/>
        <v>18.434650455927262</v>
      </c>
      <c r="S15" s="73">
        <f t="shared" si="7"/>
        <v>18.434650455927247</v>
      </c>
      <c r="T15" s="73">
        <f t="shared" si="7"/>
        <v>10.692097264436462</v>
      </c>
      <c r="U15" s="73">
        <f t="shared" si="7"/>
        <v>0</v>
      </c>
      <c r="V15" s="73">
        <f t="shared" ref="V15:AF24" si="8">$F15*((IF($I15=0,MAX(0,MIN($J15,V$9-$G15))/$J15,$K15*IF(MAX(0,MIN($J15,V$9-$G15))&lt;=$I15,MAX(0,MIN($J15,V$9-$G15))^2/(2*$I15),$I15/2+MAX(0,MIN($J15,V$9-$G15))-$I15)))-(IF($I15=0,MAX(0,MIN($J15,V$8-$G15))/$J15,$K15*IF(MAX(0,MIN($J15,V$8-$G15))&lt;=$I15,MAX(0,MIN($J15,V$8-$G15))^2/(2*$I15),$I15/2+MAX(0,MIN($J15,V$8-$G15))-$I15))))</f>
        <v>0</v>
      </c>
      <c r="W15" s="73">
        <f t="shared" si="8"/>
        <v>0</v>
      </c>
      <c r="X15" s="73">
        <f t="shared" si="8"/>
        <v>0</v>
      </c>
      <c r="Y15" s="73">
        <f t="shared" si="8"/>
        <v>0</v>
      </c>
      <c r="Z15" s="73">
        <f t="shared" si="8"/>
        <v>0</v>
      </c>
      <c r="AA15" s="73">
        <f t="shared" si="8"/>
        <v>0</v>
      </c>
      <c r="AB15" s="73">
        <f t="shared" si="8"/>
        <v>0</v>
      </c>
      <c r="AC15" s="73">
        <f t="shared" si="8"/>
        <v>0</v>
      </c>
      <c r="AD15" s="73">
        <f t="shared" si="8"/>
        <v>0</v>
      </c>
      <c r="AE15" s="73">
        <f t="shared" si="8"/>
        <v>0</v>
      </c>
      <c r="AF15" s="73">
        <f t="shared" si="8"/>
        <v>0</v>
      </c>
      <c r="AG15" s="73">
        <f t="shared" ref="AG15:AG33" si="9">SUM(L15:AF15)</f>
        <v>121.29999999999998</v>
      </c>
      <c r="AH15" s="73">
        <f t="shared" ref="AH15:AH33" si="10">AG15-F15</f>
        <v>0</v>
      </c>
      <c r="AI15" s="4" t="s">
        <v>525</v>
      </c>
      <c r="AJ15" s="4" t="s">
        <v>526</v>
      </c>
    </row>
    <row r="16" spans="1:36" x14ac:dyDescent="0.2">
      <c r="D16" s="4" t="s">
        <v>527</v>
      </c>
      <c r="E16" s="13" t="str">
        <f>'Filing Data'!$E$9</f>
        <v>TOP</v>
      </c>
      <c r="F16" s="14">
        <f>'Filing Data'!$F$9</f>
        <v>110</v>
      </c>
      <c r="G16" s="15">
        <f>'Filing Data'!$G$9</f>
        <v>2026.33</v>
      </c>
      <c r="H16" s="15">
        <f>'Filing Data'!$H$9</f>
        <v>2036.33</v>
      </c>
      <c r="I16" s="15">
        <f>'Filing Data'!$I$9</f>
        <v>2</v>
      </c>
      <c r="J16" s="74">
        <f t="shared" si="5"/>
        <v>10</v>
      </c>
      <c r="K16" s="238">
        <f t="shared" si="6"/>
        <v>0.1111111111111111</v>
      </c>
      <c r="L16" s="73">
        <f t="shared" si="7"/>
        <v>0.53900000000018666</v>
      </c>
      <c r="M16" s="73">
        <f t="shared" si="7"/>
        <v>0.83263888888900006</v>
      </c>
      <c r="N16" s="73">
        <f t="shared" si="7"/>
        <v>7.1500000000004427</v>
      </c>
      <c r="O16" s="73">
        <f t="shared" si="7"/>
        <v>11.88947222222237</v>
      </c>
      <c r="P16" s="73">
        <f t="shared" si="7"/>
        <v>12.222222222222221</v>
      </c>
      <c r="Q16" s="73">
        <f t="shared" si="7"/>
        <v>12.222222222222221</v>
      </c>
      <c r="R16" s="73">
        <f t="shared" si="7"/>
        <v>12.222222222222221</v>
      </c>
      <c r="S16" s="73">
        <f t="shared" si="7"/>
        <v>12.222222222222216</v>
      </c>
      <c r="T16" s="73">
        <f t="shared" si="7"/>
        <v>12.222222222222229</v>
      </c>
      <c r="U16" s="73">
        <f t="shared" si="7"/>
        <v>12.222222222222216</v>
      </c>
      <c r="V16" s="73">
        <f t="shared" si="8"/>
        <v>12.222222222222229</v>
      </c>
      <c r="W16" s="73">
        <f t="shared" si="8"/>
        <v>4.0333333333324495</v>
      </c>
      <c r="X16" s="73">
        <f t="shared" si="8"/>
        <v>0</v>
      </c>
      <c r="Y16" s="73">
        <f t="shared" si="8"/>
        <v>0</v>
      </c>
      <c r="Z16" s="73">
        <f t="shared" si="8"/>
        <v>0</v>
      </c>
      <c r="AA16" s="73">
        <f t="shared" si="8"/>
        <v>0</v>
      </c>
      <c r="AB16" s="73">
        <f t="shared" si="8"/>
        <v>0</v>
      </c>
      <c r="AC16" s="73">
        <f t="shared" si="8"/>
        <v>0</v>
      </c>
      <c r="AD16" s="73">
        <f t="shared" si="8"/>
        <v>0</v>
      </c>
      <c r="AE16" s="73">
        <f t="shared" si="8"/>
        <v>0</v>
      </c>
      <c r="AF16" s="73">
        <f t="shared" si="8"/>
        <v>0</v>
      </c>
      <c r="AG16" s="73">
        <f t="shared" si="9"/>
        <v>110</v>
      </c>
      <c r="AH16" s="73">
        <f t="shared" si="10"/>
        <v>0</v>
      </c>
      <c r="AI16" s="4" t="s">
        <v>75</v>
      </c>
      <c r="AJ16" s="4" t="s">
        <v>528</v>
      </c>
    </row>
    <row r="17" spans="4:36" x14ac:dyDescent="0.2">
      <c r="D17" s="4" t="s">
        <v>529</v>
      </c>
      <c r="E17" s="13" t="str">
        <f>'Filing Data'!$E$10</f>
        <v>TOP</v>
      </c>
      <c r="F17" s="14">
        <f>'Filing Data'!$F$10</f>
        <v>44.9</v>
      </c>
      <c r="G17" s="15">
        <f>'Filing Data'!$G$10</f>
        <v>2026.83</v>
      </c>
      <c r="H17" s="15">
        <f>'Filing Data'!$H$10</f>
        <v>2033.42</v>
      </c>
      <c r="I17" s="15">
        <f>'Filing Data'!$I$10</f>
        <v>1</v>
      </c>
      <c r="J17" s="74">
        <f t="shared" si="5"/>
        <v>6.5900000000001455</v>
      </c>
      <c r="K17" s="238">
        <f t="shared" si="6"/>
        <v>0.16420361247947063</v>
      </c>
      <c r="L17" s="73">
        <f t="shared" si="7"/>
        <v>0</v>
      </c>
      <c r="M17" s="73">
        <f t="shared" si="7"/>
        <v>0.10653612479483414</v>
      </c>
      <c r="N17" s="73">
        <f t="shared" si="7"/>
        <v>4.8332011494256166</v>
      </c>
      <c r="O17" s="73">
        <f t="shared" si="7"/>
        <v>7.372742200328231</v>
      </c>
      <c r="P17" s="73">
        <f t="shared" si="7"/>
        <v>7.372742200328231</v>
      </c>
      <c r="Q17" s="73">
        <f t="shared" si="7"/>
        <v>7.3727422003282337</v>
      </c>
      <c r="R17" s="73">
        <f t="shared" si="7"/>
        <v>7.3727422003282284</v>
      </c>
      <c r="S17" s="73">
        <f t="shared" si="7"/>
        <v>7.3727422003282337</v>
      </c>
      <c r="T17" s="73">
        <f t="shared" si="7"/>
        <v>3.0965517241383909</v>
      </c>
      <c r="U17" s="73">
        <f t="shared" si="7"/>
        <v>0</v>
      </c>
      <c r="V17" s="73">
        <f t="shared" si="8"/>
        <v>0</v>
      </c>
      <c r="W17" s="73">
        <f t="shared" si="8"/>
        <v>0</v>
      </c>
      <c r="X17" s="73">
        <f t="shared" si="8"/>
        <v>0</v>
      </c>
      <c r="Y17" s="73">
        <f t="shared" si="8"/>
        <v>0</v>
      </c>
      <c r="Z17" s="73">
        <f t="shared" si="8"/>
        <v>0</v>
      </c>
      <c r="AA17" s="73">
        <f t="shared" si="8"/>
        <v>0</v>
      </c>
      <c r="AB17" s="73">
        <f t="shared" si="8"/>
        <v>0</v>
      </c>
      <c r="AC17" s="73">
        <f t="shared" si="8"/>
        <v>0</v>
      </c>
      <c r="AD17" s="73">
        <f t="shared" si="8"/>
        <v>0</v>
      </c>
      <c r="AE17" s="73">
        <f t="shared" si="8"/>
        <v>0</v>
      </c>
      <c r="AF17" s="73">
        <f t="shared" si="8"/>
        <v>0</v>
      </c>
      <c r="AG17" s="73">
        <f t="shared" si="9"/>
        <v>44.9</v>
      </c>
      <c r="AH17" s="73">
        <f t="shared" si="10"/>
        <v>0</v>
      </c>
      <c r="AI17" s="4" t="s">
        <v>525</v>
      </c>
      <c r="AJ17" s="4" t="s">
        <v>530</v>
      </c>
    </row>
    <row r="18" spans="4:36" ht="25.5" x14ac:dyDescent="0.2">
      <c r="D18" s="31" t="s">
        <v>897</v>
      </c>
      <c r="E18" s="2" t="str">
        <f>'Filing Data'!$E$11</f>
        <v>TOP</v>
      </c>
      <c r="F18" s="16">
        <f>'Filing Data'!$F$11</f>
        <v>125.2</v>
      </c>
      <c r="G18" s="17">
        <f>'Filing Data'!$G$11</f>
        <v>2027</v>
      </c>
      <c r="H18" s="66">
        <f>$G18+$I18/2+$F$55/QperY</f>
        <v>2032.5</v>
      </c>
      <c r="I18" s="17">
        <f>'Filing Data'!$I$11</f>
        <v>1</v>
      </c>
      <c r="J18" s="3">
        <f t="shared" si="5"/>
        <v>5.5</v>
      </c>
      <c r="K18" s="239"/>
      <c r="L18" s="183">
        <f t="shared" ref="L18:AF18" si="11">$F18*(1-(1+($F$54/QperY))^-MIN($F$55,MAX(0,$F$55-(L$8-($G18+$I18/2))*QperY)))/(1-(1+($F$54/QperY))^-$F$55)-$F18*(1-(1+($F$54/QperY))^-MIN($F$55,MAX(0,$F$55-(L$9-($G18+$I18/2))*QperY)))/(1-(1+($F$54/QperY))^-$F$55)</f>
        <v>0</v>
      </c>
      <c r="M18" s="183">
        <f t="shared" si="11"/>
        <v>0</v>
      </c>
      <c r="N18" s="183">
        <f t="shared" si="11"/>
        <v>10.757724420721459</v>
      </c>
      <c r="O18" s="183">
        <f t="shared" si="11"/>
        <v>22.601159189943672</v>
      </c>
      <c r="P18" s="183">
        <f t="shared" si="11"/>
        <v>24.130162474144953</v>
      </c>
      <c r="Q18" s="183">
        <f t="shared" si="11"/>
        <v>25.762605189193636</v>
      </c>
      <c r="R18" s="183">
        <f t="shared" si="11"/>
        <v>27.505485172154152</v>
      </c>
      <c r="S18" s="183">
        <f t="shared" si="11"/>
        <v>14.442863553842132</v>
      </c>
      <c r="T18" s="183">
        <f t="shared" si="11"/>
        <v>0</v>
      </c>
      <c r="U18" s="183">
        <f t="shared" si="11"/>
        <v>0</v>
      </c>
      <c r="V18" s="183">
        <f t="shared" si="11"/>
        <v>0</v>
      </c>
      <c r="W18" s="183">
        <f t="shared" si="11"/>
        <v>0</v>
      </c>
      <c r="X18" s="183">
        <f t="shared" si="11"/>
        <v>0</v>
      </c>
      <c r="Y18" s="183">
        <f t="shared" si="11"/>
        <v>0</v>
      </c>
      <c r="Z18" s="183">
        <f t="shared" si="11"/>
        <v>0</v>
      </c>
      <c r="AA18" s="183">
        <f t="shared" si="11"/>
        <v>0</v>
      </c>
      <c r="AB18" s="183">
        <f t="shared" si="11"/>
        <v>0</v>
      </c>
      <c r="AC18" s="183">
        <f t="shared" si="11"/>
        <v>0</v>
      </c>
      <c r="AD18" s="183">
        <f t="shared" si="11"/>
        <v>0</v>
      </c>
      <c r="AE18" s="183">
        <f t="shared" si="11"/>
        <v>0</v>
      </c>
      <c r="AF18" s="183">
        <f t="shared" si="11"/>
        <v>0</v>
      </c>
      <c r="AG18" s="183">
        <f t="shared" si="9"/>
        <v>125.2</v>
      </c>
      <c r="AH18" s="183">
        <f t="shared" si="10"/>
        <v>0</v>
      </c>
      <c r="AI18" s="31" t="s">
        <v>532</v>
      </c>
      <c r="AJ18" s="36" t="s">
        <v>533</v>
      </c>
    </row>
    <row r="19" spans="4:36" ht="25.5" x14ac:dyDescent="0.2">
      <c r="D19" s="31" t="s">
        <v>898</v>
      </c>
      <c r="E19" s="2" t="str">
        <f>'Filing Data'!$E$12</f>
        <v>TOP</v>
      </c>
      <c r="F19" s="183">
        <f>F18*$F$69</f>
        <v>22.812994006659789</v>
      </c>
      <c r="G19" s="17">
        <f>'Filing Data'!$G$12</f>
        <v>2027</v>
      </c>
      <c r="H19" s="66">
        <f>$G18+$I18/2+$F$55/QperY</f>
        <v>2032.5</v>
      </c>
      <c r="I19" s="17">
        <f>'Filing Data'!$I$12</f>
        <v>1</v>
      </c>
      <c r="J19" s="3">
        <f t="shared" si="5"/>
        <v>5.5</v>
      </c>
      <c r="K19" s="239"/>
      <c r="L19" s="183">
        <f t="shared" ref="L19:AF19" si="12">$F18*($F$54/QperY)/(1-(1+($F$54/QperY))^-$F$55)*MAX(0,MIN(L$9,($G18+$I18/2)+$F$55/QperY)-MAX(L$8,($G18+$I18/2)))*QperY-L18</f>
        <v>0</v>
      </c>
      <c r="M19" s="183">
        <f t="shared" si="12"/>
        <v>0</v>
      </c>
      <c r="N19" s="183">
        <f t="shared" si="12"/>
        <v>4.0435749799445198</v>
      </c>
      <c r="O19" s="183">
        <f t="shared" si="12"/>
        <v>7.0014396113882853</v>
      </c>
      <c r="P19" s="183">
        <f t="shared" si="12"/>
        <v>5.4724363271870047</v>
      </c>
      <c r="Q19" s="183">
        <f t="shared" si="12"/>
        <v>3.839993612138322</v>
      </c>
      <c r="R19" s="183">
        <f t="shared" si="12"/>
        <v>2.0971136291778052</v>
      </c>
      <c r="S19" s="183">
        <f t="shared" si="12"/>
        <v>0.35843584682384666</v>
      </c>
      <c r="T19" s="183">
        <f t="shared" si="12"/>
        <v>0</v>
      </c>
      <c r="U19" s="183">
        <f t="shared" si="12"/>
        <v>0</v>
      </c>
      <c r="V19" s="183">
        <f t="shared" si="12"/>
        <v>0</v>
      </c>
      <c r="W19" s="183">
        <f t="shared" si="12"/>
        <v>0</v>
      </c>
      <c r="X19" s="183">
        <f t="shared" si="12"/>
        <v>0</v>
      </c>
      <c r="Y19" s="183">
        <f t="shared" si="12"/>
        <v>0</v>
      </c>
      <c r="Z19" s="183">
        <f t="shared" si="12"/>
        <v>0</v>
      </c>
      <c r="AA19" s="183">
        <f t="shared" si="12"/>
        <v>0</v>
      </c>
      <c r="AB19" s="183">
        <f t="shared" si="12"/>
        <v>0</v>
      </c>
      <c r="AC19" s="183">
        <f t="shared" si="12"/>
        <v>0</v>
      </c>
      <c r="AD19" s="183">
        <f t="shared" si="12"/>
        <v>0</v>
      </c>
      <c r="AE19" s="183">
        <f t="shared" si="12"/>
        <v>0</v>
      </c>
      <c r="AF19" s="183">
        <f t="shared" si="12"/>
        <v>0</v>
      </c>
      <c r="AG19" s="183">
        <f t="shared" si="9"/>
        <v>22.812994006659785</v>
      </c>
      <c r="AH19" s="183">
        <f t="shared" si="10"/>
        <v>0</v>
      </c>
      <c r="AI19" s="31" t="s">
        <v>535</v>
      </c>
      <c r="AJ19" s="36" t="s">
        <v>536</v>
      </c>
    </row>
    <row r="20" spans="4:36" x14ac:dyDescent="0.2">
      <c r="D20" s="4" t="s">
        <v>899</v>
      </c>
      <c r="E20" s="13" t="str">
        <f>'Filing Data'!$E$13</f>
        <v>TOP</v>
      </c>
      <c r="F20" s="73">
        <f>$F$53-F18</f>
        <v>35.999999999999986</v>
      </c>
      <c r="G20" s="15">
        <f>'Filing Data'!$G$13</f>
        <v>2026.5</v>
      </c>
      <c r="H20" s="67">
        <f>$G20+$I20/2+$F$55/QperY</f>
        <v>2031.75</v>
      </c>
      <c r="I20" s="15">
        <f>'Filing Data'!$I$13</f>
        <v>0.5</v>
      </c>
      <c r="J20" s="74">
        <f t="shared" si="5"/>
        <v>5.25</v>
      </c>
      <c r="K20" s="238"/>
      <c r="L20" s="73">
        <f t="shared" ref="L20:AF20" si="13">$F20*(1-(1+($F$54/QperY))^-MIN($F$55,MAX(0,$F$55-(L$8-($G20+$I20/2))*QperY)))/(1-(1+($F$54/QperY))^-$F$55)-$F20*(1-(1+($F$54/QperY))^-MIN($F$55,MAX(0,$F$55-(L$9-($G20+$I20/2))*QperY)))/(1-(1+($F$54/QperY))^-$F$55)</f>
        <v>0</v>
      </c>
      <c r="M20" s="73">
        <f t="shared" si="13"/>
        <v>1.5339823419487928</v>
      </c>
      <c r="N20" s="73">
        <f t="shared" si="13"/>
        <v>6.3932472890436465</v>
      </c>
      <c r="O20" s="73">
        <f t="shared" si="13"/>
        <v>6.8257603304989765</v>
      </c>
      <c r="P20" s="73">
        <f t="shared" si="13"/>
        <v>7.2875335464120976</v>
      </c>
      <c r="Q20" s="73">
        <f t="shared" si="13"/>
        <v>7.7805464327222937</v>
      </c>
      <c r="R20" s="73">
        <f t="shared" si="13"/>
        <v>6.1789300593741787</v>
      </c>
      <c r="S20" s="73">
        <f t="shared" si="13"/>
        <v>0</v>
      </c>
      <c r="T20" s="73">
        <f t="shared" si="13"/>
        <v>0</v>
      </c>
      <c r="U20" s="73">
        <f t="shared" si="13"/>
        <v>0</v>
      </c>
      <c r="V20" s="73">
        <f t="shared" si="13"/>
        <v>0</v>
      </c>
      <c r="W20" s="73">
        <f t="shared" si="13"/>
        <v>0</v>
      </c>
      <c r="X20" s="73">
        <f t="shared" si="13"/>
        <v>0</v>
      </c>
      <c r="Y20" s="73">
        <f t="shared" si="13"/>
        <v>0</v>
      </c>
      <c r="Z20" s="73">
        <f t="shared" si="13"/>
        <v>0</v>
      </c>
      <c r="AA20" s="73">
        <f t="shared" si="13"/>
        <v>0</v>
      </c>
      <c r="AB20" s="73">
        <f t="shared" si="13"/>
        <v>0</v>
      </c>
      <c r="AC20" s="73">
        <f t="shared" si="13"/>
        <v>0</v>
      </c>
      <c r="AD20" s="73">
        <f t="shared" si="13"/>
        <v>0</v>
      </c>
      <c r="AE20" s="73">
        <f t="shared" si="13"/>
        <v>0</v>
      </c>
      <c r="AF20" s="73">
        <f t="shared" si="13"/>
        <v>0</v>
      </c>
      <c r="AG20" s="73">
        <f t="shared" si="9"/>
        <v>35.999999999999986</v>
      </c>
      <c r="AH20" s="73">
        <f t="shared" si="10"/>
        <v>0</v>
      </c>
      <c r="AI20" s="4" t="s">
        <v>538</v>
      </c>
      <c r="AJ20" s="4" t="s">
        <v>539</v>
      </c>
    </row>
    <row r="21" spans="4:36" x14ac:dyDescent="0.2">
      <c r="D21" s="4" t="s">
        <v>900</v>
      </c>
      <c r="E21" s="13" t="str">
        <f>'Filing Data'!$E$14</f>
        <v>TOP</v>
      </c>
      <c r="F21" s="73">
        <f>F20*$F$69</f>
        <v>6.559646838975655</v>
      </c>
      <c r="G21" s="15">
        <f>'Filing Data'!$G$14</f>
        <v>2026.5</v>
      </c>
      <c r="H21" s="67">
        <f>$G20+$I20/2+$F$55/QperY</f>
        <v>2031.75</v>
      </c>
      <c r="I21" s="15">
        <f>'Filing Data'!$I$14</f>
        <v>0.5</v>
      </c>
      <c r="J21" s="74">
        <f t="shared" si="5"/>
        <v>5.25</v>
      </c>
      <c r="K21" s="238"/>
      <c r="L21" s="73">
        <f t="shared" ref="L21:AF21" si="14">$F20*($F$54/QperY)/(1-(1+($F$54/QperY))^-$F$55)*MAX(0,MIN(L$9,($G20+$I20/2)+$F$55/QperY)-MAX(L$8,($G20+$I20/2)))*QperY-L20</f>
        <v>0</v>
      </c>
      <c r="M21" s="73">
        <f t="shared" si="14"/>
        <v>0.59399999999998876</v>
      </c>
      <c r="N21" s="73">
        <f t="shared" si="14"/>
        <v>2.1186820787514797</v>
      </c>
      <c r="O21" s="73">
        <f t="shared" si="14"/>
        <v>1.6861690372961498</v>
      </c>
      <c r="P21" s="73">
        <f t="shared" si="14"/>
        <v>1.2243958213830286</v>
      </c>
      <c r="Q21" s="73">
        <f t="shared" si="14"/>
        <v>0.73138293507283247</v>
      </c>
      <c r="R21" s="73">
        <f t="shared" si="14"/>
        <v>0.20501696647216594</v>
      </c>
      <c r="S21" s="73">
        <f t="shared" si="14"/>
        <v>0</v>
      </c>
      <c r="T21" s="73">
        <f t="shared" si="14"/>
        <v>0</v>
      </c>
      <c r="U21" s="73">
        <f t="shared" si="14"/>
        <v>0</v>
      </c>
      <c r="V21" s="73">
        <f t="shared" si="14"/>
        <v>0</v>
      </c>
      <c r="W21" s="73">
        <f t="shared" si="14"/>
        <v>0</v>
      </c>
      <c r="X21" s="73">
        <f t="shared" si="14"/>
        <v>0</v>
      </c>
      <c r="Y21" s="73">
        <f t="shared" si="14"/>
        <v>0</v>
      </c>
      <c r="Z21" s="73">
        <f t="shared" si="14"/>
        <v>0</v>
      </c>
      <c r="AA21" s="73">
        <f t="shared" si="14"/>
        <v>0</v>
      </c>
      <c r="AB21" s="73">
        <f t="shared" si="14"/>
        <v>0</v>
      </c>
      <c r="AC21" s="73">
        <f t="shared" si="14"/>
        <v>0</v>
      </c>
      <c r="AD21" s="73">
        <f t="shared" si="14"/>
        <v>0</v>
      </c>
      <c r="AE21" s="73">
        <f t="shared" si="14"/>
        <v>0</v>
      </c>
      <c r="AF21" s="73">
        <f t="shared" si="14"/>
        <v>0</v>
      </c>
      <c r="AG21" s="73">
        <f t="shared" si="9"/>
        <v>6.5596468389756453</v>
      </c>
      <c r="AH21" s="73">
        <f t="shared" si="10"/>
        <v>-9.7699626167013776E-15</v>
      </c>
      <c r="AI21" s="4" t="s">
        <v>541</v>
      </c>
      <c r="AJ21" s="4" t="s">
        <v>542</v>
      </c>
    </row>
    <row r="22" spans="4:36" ht="25.5" x14ac:dyDescent="0.2">
      <c r="D22" s="31" t="s">
        <v>543</v>
      </c>
      <c r="E22" s="2" t="str">
        <f>'Filing Data'!$E$15</f>
        <v>TOP</v>
      </c>
      <c r="F22" s="183">
        <f>$F$57*$F$58*MperY*(J22-I22/2)</f>
        <v>13.206</v>
      </c>
      <c r="G22" s="17">
        <f>'Filing Data'!$G$15</f>
        <v>2026.33</v>
      </c>
      <c r="H22" s="66">
        <f>$F$59</f>
        <v>2027.33</v>
      </c>
      <c r="I22" s="17">
        <f>'Filing Data'!$I$15</f>
        <v>0.57999999999999996</v>
      </c>
      <c r="J22" s="3">
        <f t="shared" si="5"/>
        <v>1</v>
      </c>
      <c r="K22" s="239">
        <f t="shared" si="6"/>
        <v>1.4084507042253522</v>
      </c>
      <c r="L22" s="183">
        <f t="shared" si="7"/>
        <v>2.8284827586216696</v>
      </c>
      <c r="M22" s="183">
        <f t="shared" si="7"/>
        <v>4.2395172413796862</v>
      </c>
      <c r="N22" s="183">
        <f t="shared" si="7"/>
        <v>6.1379999999986472</v>
      </c>
      <c r="O22" s="183">
        <f t="shared" si="7"/>
        <v>0</v>
      </c>
      <c r="P22" s="183">
        <f t="shared" si="7"/>
        <v>0</v>
      </c>
      <c r="Q22" s="183">
        <f t="shared" si="7"/>
        <v>0</v>
      </c>
      <c r="R22" s="183">
        <f t="shared" si="7"/>
        <v>0</v>
      </c>
      <c r="S22" s="183">
        <f t="shared" si="7"/>
        <v>0</v>
      </c>
      <c r="T22" s="183">
        <f t="shared" si="7"/>
        <v>0</v>
      </c>
      <c r="U22" s="183">
        <f t="shared" si="7"/>
        <v>0</v>
      </c>
      <c r="V22" s="183">
        <f t="shared" si="8"/>
        <v>0</v>
      </c>
      <c r="W22" s="183">
        <f t="shared" si="8"/>
        <v>0</v>
      </c>
      <c r="X22" s="183">
        <f t="shared" si="8"/>
        <v>0</v>
      </c>
      <c r="Y22" s="183">
        <f t="shared" si="8"/>
        <v>0</v>
      </c>
      <c r="Z22" s="183">
        <f t="shared" si="8"/>
        <v>0</v>
      </c>
      <c r="AA22" s="183">
        <f t="shared" si="8"/>
        <v>0</v>
      </c>
      <c r="AB22" s="183">
        <f t="shared" si="8"/>
        <v>0</v>
      </c>
      <c r="AC22" s="183">
        <f t="shared" si="8"/>
        <v>0</v>
      </c>
      <c r="AD22" s="183">
        <f t="shared" si="8"/>
        <v>0</v>
      </c>
      <c r="AE22" s="183">
        <f t="shared" si="8"/>
        <v>0</v>
      </c>
      <c r="AF22" s="183">
        <f t="shared" si="8"/>
        <v>0</v>
      </c>
      <c r="AG22" s="183">
        <f t="shared" si="9"/>
        <v>13.206000000000003</v>
      </c>
      <c r="AH22" s="183">
        <f t="shared" si="10"/>
        <v>0</v>
      </c>
      <c r="AI22" s="31" t="s">
        <v>544</v>
      </c>
      <c r="AJ22" s="36" t="s">
        <v>545</v>
      </c>
    </row>
    <row r="23" spans="4:36" x14ac:dyDescent="0.2">
      <c r="D23" s="4" t="s">
        <v>546</v>
      </c>
      <c r="E23" s="13" t="str">
        <f>'Filing Data'!$E$16</f>
        <v>TOP</v>
      </c>
      <c r="F23" s="73">
        <f>$F$57*(1-$F$58)*MperY*(J23-I23/2)</f>
        <v>16.368000000001356</v>
      </c>
      <c r="G23" s="15">
        <f>'Filing Data'!$G$16</f>
        <v>2026.33</v>
      </c>
      <c r="H23" s="67">
        <f>$F$60</f>
        <v>2027.5</v>
      </c>
      <c r="I23" s="15">
        <f>'Filing Data'!$I$16</f>
        <v>0.57999999999999996</v>
      </c>
      <c r="J23" s="74">
        <f t="shared" si="5"/>
        <v>1.1700000000000728</v>
      </c>
      <c r="K23" s="238">
        <f t="shared" si="6"/>
        <v>1.1363636363635425</v>
      </c>
      <c r="L23" s="73">
        <f t="shared" si="7"/>
        <v>2.8284827586216705</v>
      </c>
      <c r="M23" s="73">
        <f t="shared" si="7"/>
        <v>4.2395172413796862</v>
      </c>
      <c r="N23" s="73">
        <f t="shared" si="7"/>
        <v>9.3000000000000025</v>
      </c>
      <c r="O23" s="73">
        <f t="shared" si="7"/>
        <v>0</v>
      </c>
      <c r="P23" s="73">
        <f t="shared" si="7"/>
        <v>0</v>
      </c>
      <c r="Q23" s="73">
        <f t="shared" si="7"/>
        <v>0</v>
      </c>
      <c r="R23" s="73">
        <f t="shared" si="7"/>
        <v>0</v>
      </c>
      <c r="S23" s="73">
        <f t="shared" si="7"/>
        <v>0</v>
      </c>
      <c r="T23" s="73">
        <f t="shared" si="7"/>
        <v>0</v>
      </c>
      <c r="U23" s="73">
        <f t="shared" si="7"/>
        <v>0</v>
      </c>
      <c r="V23" s="73">
        <f t="shared" si="8"/>
        <v>0</v>
      </c>
      <c r="W23" s="73">
        <f t="shared" si="8"/>
        <v>0</v>
      </c>
      <c r="X23" s="73">
        <f t="shared" si="8"/>
        <v>0</v>
      </c>
      <c r="Y23" s="73">
        <f t="shared" si="8"/>
        <v>0</v>
      </c>
      <c r="Z23" s="73">
        <f t="shared" si="8"/>
        <v>0</v>
      </c>
      <c r="AA23" s="73">
        <f t="shared" si="8"/>
        <v>0</v>
      </c>
      <c r="AB23" s="73">
        <f t="shared" si="8"/>
        <v>0</v>
      </c>
      <c r="AC23" s="73">
        <f t="shared" si="8"/>
        <v>0</v>
      </c>
      <c r="AD23" s="73">
        <f t="shared" si="8"/>
        <v>0</v>
      </c>
      <c r="AE23" s="73">
        <f t="shared" si="8"/>
        <v>0</v>
      </c>
      <c r="AF23" s="73">
        <f t="shared" si="8"/>
        <v>0</v>
      </c>
      <c r="AG23" s="73">
        <f t="shared" si="9"/>
        <v>16.368000000001359</v>
      </c>
      <c r="AH23" s="73">
        <f t="shared" si="10"/>
        <v>0</v>
      </c>
      <c r="AI23" s="4" t="s">
        <v>544</v>
      </c>
      <c r="AJ23" s="4" t="s">
        <v>547</v>
      </c>
    </row>
    <row r="24" spans="4:36" x14ac:dyDescent="0.2">
      <c r="D24" s="4" t="s">
        <v>548</v>
      </c>
      <c r="E24" s="13" t="str">
        <f>'Filing Data'!$E$17</f>
        <v>SXR</v>
      </c>
      <c r="F24" s="73">
        <f>$F$57*$F$58*MperY*(H24-G24)</f>
        <v>38.874000000002709</v>
      </c>
      <c r="G24" s="67">
        <f>$F$59</f>
        <v>2027.33</v>
      </c>
      <c r="H24" s="67">
        <f>$F$61</f>
        <v>2029.42</v>
      </c>
      <c r="I24" s="15">
        <f>'Filing Data'!$I$17</f>
        <v>0</v>
      </c>
      <c r="J24" s="74">
        <f t="shared" si="5"/>
        <v>2.0900000000001455</v>
      </c>
      <c r="K24" s="238">
        <f t="shared" si="6"/>
        <v>0.47846889952149779</v>
      </c>
      <c r="L24" s="73">
        <f t="shared" si="7"/>
        <v>0</v>
      </c>
      <c r="M24" s="73">
        <f t="shared" si="7"/>
        <v>0</v>
      </c>
      <c r="N24" s="73">
        <f t="shared" si="7"/>
        <v>12.462000000001355</v>
      </c>
      <c r="O24" s="73">
        <f t="shared" si="7"/>
        <v>18.600000000000001</v>
      </c>
      <c r="P24" s="73">
        <f t="shared" si="7"/>
        <v>7.8120000000013539</v>
      </c>
      <c r="Q24" s="73">
        <f t="shared" si="7"/>
        <v>0</v>
      </c>
      <c r="R24" s="73">
        <f t="shared" si="7"/>
        <v>0</v>
      </c>
      <c r="S24" s="73">
        <f t="shared" si="7"/>
        <v>0</v>
      </c>
      <c r="T24" s="73">
        <f t="shared" si="7"/>
        <v>0</v>
      </c>
      <c r="U24" s="73">
        <f t="shared" si="7"/>
        <v>0</v>
      </c>
      <c r="V24" s="73">
        <f t="shared" si="8"/>
        <v>0</v>
      </c>
      <c r="W24" s="73">
        <f t="shared" si="8"/>
        <v>0</v>
      </c>
      <c r="X24" s="73">
        <f t="shared" si="8"/>
        <v>0</v>
      </c>
      <c r="Y24" s="73">
        <f t="shared" si="8"/>
        <v>0</v>
      </c>
      <c r="Z24" s="73">
        <f t="shared" si="8"/>
        <v>0</v>
      </c>
      <c r="AA24" s="73">
        <f t="shared" si="8"/>
        <v>0</v>
      </c>
      <c r="AB24" s="73">
        <f t="shared" si="8"/>
        <v>0</v>
      </c>
      <c r="AC24" s="73">
        <f t="shared" si="8"/>
        <v>0</v>
      </c>
      <c r="AD24" s="73">
        <f t="shared" si="8"/>
        <v>0</v>
      </c>
      <c r="AE24" s="73">
        <f t="shared" si="8"/>
        <v>0</v>
      </c>
      <c r="AF24" s="73">
        <f t="shared" si="8"/>
        <v>0</v>
      </c>
      <c r="AG24" s="73">
        <f t="shared" si="9"/>
        <v>38.874000000002709</v>
      </c>
      <c r="AH24" s="73">
        <f t="shared" si="10"/>
        <v>0</v>
      </c>
      <c r="AI24" s="4" t="s">
        <v>550</v>
      </c>
      <c r="AJ24" s="4" t="s">
        <v>551</v>
      </c>
    </row>
    <row r="25" spans="4:36" x14ac:dyDescent="0.2">
      <c r="D25" s="4" t="s">
        <v>552</v>
      </c>
      <c r="E25" s="13" t="str">
        <f>'Filing Data'!$E$18</f>
        <v>SXR</v>
      </c>
      <c r="F25" s="73">
        <f>$F$57*(1-$F$58)*MperY*(H25-G25)</f>
        <v>35.712000000001353</v>
      </c>
      <c r="G25" s="67">
        <f>$F$60</f>
        <v>2027.5</v>
      </c>
      <c r="H25" s="67">
        <f>$F$61</f>
        <v>2029.42</v>
      </c>
      <c r="I25" s="15">
        <f>'Filing Data'!$I$18</f>
        <v>0</v>
      </c>
      <c r="J25" s="74">
        <f t="shared" si="5"/>
        <v>1.9200000000000728</v>
      </c>
      <c r="K25" s="238">
        <f t="shared" si="6"/>
        <v>0.52083333333331361</v>
      </c>
      <c r="L25" s="73">
        <f t="shared" ref="L25:U33" si="15">$F25*((IF($I25=0,MAX(0,MIN($J25,L$9-$G25))/$J25,$K25*IF(MAX(0,MIN($J25,L$9-$G25))&lt;=$I25,MAX(0,MIN($J25,L$9-$G25))^2/(2*$I25),$I25/2+MAX(0,MIN($J25,L$9-$G25))-$I25)))-(IF($I25=0,MAX(0,MIN($J25,L$8-$G25))/$J25,$K25*IF(MAX(0,MIN($J25,L$8-$G25))&lt;=$I25,MAX(0,MIN($J25,L$8-$G25))^2/(2*$I25),$I25/2+MAX(0,MIN($J25,L$8-$G25))-$I25))))</f>
        <v>0</v>
      </c>
      <c r="M25" s="73">
        <f t="shared" si="15"/>
        <v>0</v>
      </c>
      <c r="N25" s="73">
        <f t="shared" si="15"/>
        <v>9.3000000000000007</v>
      </c>
      <c r="O25" s="73">
        <f t="shared" si="15"/>
        <v>18.599999999999998</v>
      </c>
      <c r="P25" s="73">
        <f t="shared" si="15"/>
        <v>7.8120000000013547</v>
      </c>
      <c r="Q25" s="73">
        <f t="shared" si="15"/>
        <v>0</v>
      </c>
      <c r="R25" s="73">
        <f t="shared" si="15"/>
        <v>0</v>
      </c>
      <c r="S25" s="73">
        <f t="shared" si="15"/>
        <v>0</v>
      </c>
      <c r="T25" s="73">
        <f t="shared" si="15"/>
        <v>0</v>
      </c>
      <c r="U25" s="73">
        <f t="shared" si="15"/>
        <v>0</v>
      </c>
      <c r="V25" s="73">
        <f t="shared" ref="V25:AF33" si="16">$F25*((IF($I25=0,MAX(0,MIN($J25,V$9-$G25))/$J25,$K25*IF(MAX(0,MIN($J25,V$9-$G25))&lt;=$I25,MAX(0,MIN($J25,V$9-$G25))^2/(2*$I25),$I25/2+MAX(0,MIN($J25,V$9-$G25))-$I25)))-(IF($I25=0,MAX(0,MIN($J25,V$8-$G25))/$J25,$K25*IF(MAX(0,MIN($J25,V$8-$G25))&lt;=$I25,MAX(0,MIN($J25,V$8-$G25))^2/(2*$I25),$I25/2+MAX(0,MIN($J25,V$8-$G25))-$I25))))</f>
        <v>0</v>
      </c>
      <c r="W25" s="73">
        <f t="shared" si="16"/>
        <v>0</v>
      </c>
      <c r="X25" s="73">
        <f t="shared" si="16"/>
        <v>0</v>
      </c>
      <c r="Y25" s="73">
        <f t="shared" si="16"/>
        <v>0</v>
      </c>
      <c r="Z25" s="73">
        <f t="shared" si="16"/>
        <v>0</v>
      </c>
      <c r="AA25" s="73">
        <f t="shared" si="16"/>
        <v>0</v>
      </c>
      <c r="AB25" s="73">
        <f t="shared" si="16"/>
        <v>0</v>
      </c>
      <c r="AC25" s="73">
        <f t="shared" si="16"/>
        <v>0</v>
      </c>
      <c r="AD25" s="73">
        <f t="shared" si="16"/>
        <v>0</v>
      </c>
      <c r="AE25" s="73">
        <f t="shared" si="16"/>
        <v>0</v>
      </c>
      <c r="AF25" s="73">
        <f t="shared" si="16"/>
        <v>0</v>
      </c>
      <c r="AG25" s="73">
        <f t="shared" si="9"/>
        <v>35.712000000001353</v>
      </c>
      <c r="AH25" s="73">
        <f t="shared" si="10"/>
        <v>0</v>
      </c>
      <c r="AI25" s="4" t="s">
        <v>550</v>
      </c>
      <c r="AJ25" s="4" t="s">
        <v>542</v>
      </c>
    </row>
    <row r="26" spans="4:36" ht="25.5" x14ac:dyDescent="0.2">
      <c r="D26" s="31" t="s">
        <v>553</v>
      </c>
      <c r="E26" s="2" t="str">
        <f>'Filing Data'!$E$19</f>
        <v>SXR</v>
      </c>
      <c r="F26" s="183">
        <f>$F$56-F22-F23-F24-F25</f>
        <v>16.339999999994575</v>
      </c>
      <c r="G26" s="66">
        <f>$F$60</f>
        <v>2027.5</v>
      </c>
      <c r="H26" s="66">
        <f>$F$61</f>
        <v>2029.42</v>
      </c>
      <c r="I26" s="17">
        <f>'Filing Data'!$I$19</f>
        <v>0</v>
      </c>
      <c r="J26" s="3">
        <f t="shared" si="5"/>
        <v>1.9200000000000728</v>
      </c>
      <c r="K26" s="239">
        <f t="shared" si="6"/>
        <v>0.52083333333331361</v>
      </c>
      <c r="L26" s="183">
        <f t="shared" si="15"/>
        <v>0</v>
      </c>
      <c r="M26" s="183">
        <f t="shared" si="15"/>
        <v>0</v>
      </c>
      <c r="N26" s="183">
        <f t="shared" si="15"/>
        <v>4.2552083333317592</v>
      </c>
      <c r="O26" s="183">
        <f t="shared" si="15"/>
        <v>8.5104166666635166</v>
      </c>
      <c r="P26" s="183">
        <f t="shared" si="15"/>
        <v>3.5743749999992978</v>
      </c>
      <c r="Q26" s="183">
        <f t="shared" si="15"/>
        <v>0</v>
      </c>
      <c r="R26" s="183">
        <f t="shared" si="15"/>
        <v>0</v>
      </c>
      <c r="S26" s="183">
        <f t="shared" si="15"/>
        <v>0</v>
      </c>
      <c r="T26" s="183">
        <f t="shared" si="15"/>
        <v>0</v>
      </c>
      <c r="U26" s="183">
        <f t="shared" si="15"/>
        <v>0</v>
      </c>
      <c r="V26" s="183">
        <f t="shared" si="16"/>
        <v>0</v>
      </c>
      <c r="W26" s="183">
        <f t="shared" si="16"/>
        <v>0</v>
      </c>
      <c r="X26" s="183">
        <f t="shared" si="16"/>
        <v>0</v>
      </c>
      <c r="Y26" s="183">
        <f t="shared" si="16"/>
        <v>0</v>
      </c>
      <c r="Z26" s="183">
        <f t="shared" si="16"/>
        <v>0</v>
      </c>
      <c r="AA26" s="183">
        <f t="shared" si="16"/>
        <v>0</v>
      </c>
      <c r="AB26" s="183">
        <f t="shared" si="16"/>
        <v>0</v>
      </c>
      <c r="AC26" s="183">
        <f t="shared" si="16"/>
        <v>0</v>
      </c>
      <c r="AD26" s="183">
        <f t="shared" si="16"/>
        <v>0</v>
      </c>
      <c r="AE26" s="183">
        <f t="shared" si="16"/>
        <v>0</v>
      </c>
      <c r="AF26" s="183">
        <f t="shared" si="16"/>
        <v>0</v>
      </c>
      <c r="AG26" s="183">
        <f t="shared" si="9"/>
        <v>16.339999999994571</v>
      </c>
      <c r="AH26" s="183">
        <f t="shared" si="10"/>
        <v>0</v>
      </c>
      <c r="AI26" s="31" t="s">
        <v>554</v>
      </c>
      <c r="AJ26" s="36" t="s">
        <v>555</v>
      </c>
    </row>
    <row r="27" spans="4:36" x14ac:dyDescent="0.2">
      <c r="D27" s="4" t="s">
        <v>556</v>
      </c>
      <c r="E27" s="13" t="str">
        <f>'Filing Data'!$E$20</f>
        <v>POD</v>
      </c>
      <c r="F27" s="14">
        <f>'Filing Data'!$F$20</f>
        <v>44.6</v>
      </c>
      <c r="G27" s="15">
        <f>'Filing Data'!$G$20</f>
        <v>2027</v>
      </c>
      <c r="H27" s="15">
        <f>'Filing Data'!$H$20</f>
        <v>2033</v>
      </c>
      <c r="I27" s="15">
        <f>'Filing Data'!$I$20</f>
        <v>2</v>
      </c>
      <c r="J27" s="74">
        <f t="shared" si="5"/>
        <v>6</v>
      </c>
      <c r="K27" s="238">
        <f t="shared" si="6"/>
        <v>0.2</v>
      </c>
      <c r="L27" s="73">
        <f t="shared" si="15"/>
        <v>0</v>
      </c>
      <c r="M27" s="73">
        <f t="shared" si="15"/>
        <v>0</v>
      </c>
      <c r="N27" s="73">
        <f t="shared" si="15"/>
        <v>2.23</v>
      </c>
      <c r="O27" s="73">
        <f t="shared" si="15"/>
        <v>6.6900000000000013</v>
      </c>
      <c r="P27" s="73">
        <f t="shared" si="15"/>
        <v>8.92</v>
      </c>
      <c r="Q27" s="73">
        <f t="shared" si="15"/>
        <v>8.9200000000000035</v>
      </c>
      <c r="R27" s="73">
        <f t="shared" si="15"/>
        <v>8.9199999999999982</v>
      </c>
      <c r="S27" s="73">
        <f t="shared" si="15"/>
        <v>8.9199999999999982</v>
      </c>
      <c r="T27" s="73">
        <f t="shared" si="15"/>
        <v>0</v>
      </c>
      <c r="U27" s="73">
        <f t="shared" si="15"/>
        <v>0</v>
      </c>
      <c r="V27" s="73">
        <f t="shared" si="16"/>
        <v>0</v>
      </c>
      <c r="W27" s="73">
        <f t="shared" si="16"/>
        <v>0</v>
      </c>
      <c r="X27" s="73">
        <f t="shared" si="16"/>
        <v>0</v>
      </c>
      <c r="Y27" s="73">
        <f t="shared" si="16"/>
        <v>0</v>
      </c>
      <c r="Z27" s="73">
        <f t="shared" si="16"/>
        <v>0</v>
      </c>
      <c r="AA27" s="73">
        <f t="shared" si="16"/>
        <v>0</v>
      </c>
      <c r="AB27" s="73">
        <f t="shared" si="16"/>
        <v>0</v>
      </c>
      <c r="AC27" s="73">
        <f t="shared" si="16"/>
        <v>0</v>
      </c>
      <c r="AD27" s="73">
        <f t="shared" si="16"/>
        <v>0</v>
      </c>
      <c r="AE27" s="73">
        <f t="shared" si="16"/>
        <v>0</v>
      </c>
      <c r="AF27" s="73">
        <f t="shared" si="16"/>
        <v>0</v>
      </c>
      <c r="AG27" s="73">
        <f t="shared" si="9"/>
        <v>44.600000000000009</v>
      </c>
      <c r="AH27" s="73">
        <f t="shared" si="10"/>
        <v>0</v>
      </c>
      <c r="AI27" s="4" t="s">
        <v>75</v>
      </c>
      <c r="AJ27" s="4" t="s">
        <v>558</v>
      </c>
    </row>
    <row r="28" spans="4:36" ht="25.5" x14ac:dyDescent="0.2">
      <c r="D28" s="31" t="s">
        <v>559</v>
      </c>
      <c r="E28" s="2" t="str">
        <f>'Filing Data'!$E$21</f>
        <v>POD</v>
      </c>
      <c r="F28" s="16">
        <f>'Filing Data'!$F$21</f>
        <v>41.3</v>
      </c>
      <c r="G28" s="17">
        <f>'Filing Data'!$G$21</f>
        <v>2026.75</v>
      </c>
      <c r="H28" s="17">
        <f>'Filing Data'!$H$21</f>
        <v>2034</v>
      </c>
      <c r="I28" s="17">
        <f>'Filing Data'!$I$21</f>
        <v>2</v>
      </c>
      <c r="J28" s="3">
        <f t="shared" si="5"/>
        <v>7.25</v>
      </c>
      <c r="K28" s="239">
        <f t="shared" si="6"/>
        <v>0.16</v>
      </c>
      <c r="L28" s="183">
        <f t="shared" si="15"/>
        <v>0</v>
      </c>
      <c r="M28" s="183">
        <f t="shared" si="15"/>
        <v>0.10324999999999999</v>
      </c>
      <c r="N28" s="183">
        <f t="shared" si="15"/>
        <v>2.4779999999999998</v>
      </c>
      <c r="O28" s="183">
        <f t="shared" si="15"/>
        <v>5.67875</v>
      </c>
      <c r="P28" s="183">
        <f t="shared" si="15"/>
        <v>6.6079999999999988</v>
      </c>
      <c r="Q28" s="183">
        <f t="shared" si="15"/>
        <v>6.6080000000000005</v>
      </c>
      <c r="R28" s="183">
        <f t="shared" si="15"/>
        <v>6.6080000000000005</v>
      </c>
      <c r="S28" s="183">
        <f t="shared" si="15"/>
        <v>6.6079999999999961</v>
      </c>
      <c r="T28" s="183">
        <f t="shared" si="15"/>
        <v>6.6080000000000005</v>
      </c>
      <c r="U28" s="183">
        <f t="shared" si="15"/>
        <v>0</v>
      </c>
      <c r="V28" s="183">
        <f t="shared" si="16"/>
        <v>0</v>
      </c>
      <c r="W28" s="183">
        <f t="shared" si="16"/>
        <v>0</v>
      </c>
      <c r="X28" s="183">
        <f t="shared" si="16"/>
        <v>0</v>
      </c>
      <c r="Y28" s="183">
        <f t="shared" si="16"/>
        <v>0</v>
      </c>
      <c r="Z28" s="183">
        <f t="shared" si="16"/>
        <v>0</v>
      </c>
      <c r="AA28" s="183">
        <f t="shared" si="16"/>
        <v>0</v>
      </c>
      <c r="AB28" s="183">
        <f t="shared" si="16"/>
        <v>0</v>
      </c>
      <c r="AC28" s="183">
        <f t="shared" si="16"/>
        <v>0</v>
      </c>
      <c r="AD28" s="183">
        <f t="shared" si="16"/>
        <v>0</v>
      </c>
      <c r="AE28" s="183">
        <f t="shared" si="16"/>
        <v>0</v>
      </c>
      <c r="AF28" s="183">
        <f t="shared" si="16"/>
        <v>0</v>
      </c>
      <c r="AG28" s="183">
        <f t="shared" si="9"/>
        <v>41.3</v>
      </c>
      <c r="AH28" s="183">
        <f t="shared" si="10"/>
        <v>0</v>
      </c>
      <c r="AI28" s="31" t="s">
        <v>75</v>
      </c>
      <c r="AJ28" s="36" t="s">
        <v>560</v>
      </c>
    </row>
    <row r="29" spans="4:36" ht="25.5" x14ac:dyDescent="0.2">
      <c r="D29" s="31" t="s">
        <v>561</v>
      </c>
      <c r="E29" s="2" t="str">
        <f>'Filing Data'!$E$22</f>
        <v>PU</v>
      </c>
      <c r="F29" s="183">
        <f>AVERAGE($F$63,$F$64)</f>
        <v>137.5</v>
      </c>
      <c r="G29" s="17">
        <f>'Filing Data'!$G$22</f>
        <v>2028</v>
      </c>
      <c r="H29" s="17">
        <f>'Filing Data'!$H$22</f>
        <v>2035</v>
      </c>
      <c r="I29" s="17">
        <f>'Filing Data'!$I$22</f>
        <v>3</v>
      </c>
      <c r="J29" s="3">
        <f t="shared" si="5"/>
        <v>7</v>
      </c>
      <c r="K29" s="239">
        <f t="shared" si="6"/>
        <v>0.18181818181818182</v>
      </c>
      <c r="L29" s="183">
        <f t="shared" si="15"/>
        <v>0</v>
      </c>
      <c r="M29" s="183">
        <f t="shared" si="15"/>
        <v>0</v>
      </c>
      <c r="N29" s="183">
        <f t="shared" si="15"/>
        <v>0</v>
      </c>
      <c r="O29" s="183">
        <f t="shared" si="15"/>
        <v>4.166666666666667</v>
      </c>
      <c r="P29" s="183">
        <f t="shared" si="15"/>
        <v>12.5</v>
      </c>
      <c r="Q29" s="183">
        <f t="shared" si="15"/>
        <v>20.833333333333329</v>
      </c>
      <c r="R29" s="183">
        <f t="shared" si="15"/>
        <v>25.000000000000007</v>
      </c>
      <c r="S29" s="183">
        <f t="shared" si="15"/>
        <v>24.999999999999993</v>
      </c>
      <c r="T29" s="183">
        <f t="shared" si="15"/>
        <v>25.000000000000007</v>
      </c>
      <c r="U29" s="183">
        <f t="shared" si="15"/>
        <v>24.999999999999993</v>
      </c>
      <c r="V29" s="183">
        <f t="shared" si="16"/>
        <v>0</v>
      </c>
      <c r="W29" s="183">
        <f t="shared" si="16"/>
        <v>0</v>
      </c>
      <c r="X29" s="183">
        <f t="shared" si="16"/>
        <v>0</v>
      </c>
      <c r="Y29" s="183">
        <f t="shared" si="16"/>
        <v>0</v>
      </c>
      <c r="Z29" s="183">
        <f t="shared" si="16"/>
        <v>0</v>
      </c>
      <c r="AA29" s="183">
        <f t="shared" si="16"/>
        <v>0</v>
      </c>
      <c r="AB29" s="183">
        <f t="shared" si="16"/>
        <v>0</v>
      </c>
      <c r="AC29" s="183">
        <f t="shared" si="16"/>
        <v>0</v>
      </c>
      <c r="AD29" s="183">
        <f t="shared" si="16"/>
        <v>0</v>
      </c>
      <c r="AE29" s="183">
        <f t="shared" si="16"/>
        <v>0</v>
      </c>
      <c r="AF29" s="183">
        <f t="shared" si="16"/>
        <v>0</v>
      </c>
      <c r="AG29" s="183">
        <f t="shared" si="9"/>
        <v>137.5</v>
      </c>
      <c r="AH29" s="183">
        <f t="shared" si="10"/>
        <v>0</v>
      </c>
      <c r="AI29" s="31" t="s">
        <v>525</v>
      </c>
      <c r="AJ29" s="36" t="s">
        <v>563</v>
      </c>
    </row>
    <row r="30" spans="4:36" ht="25.5" x14ac:dyDescent="0.2">
      <c r="D30" s="31" t="s">
        <v>564</v>
      </c>
      <c r="E30" s="2" t="str">
        <f>'Filing Data'!$E$23</f>
        <v>PU</v>
      </c>
      <c r="F30" s="16">
        <f>'Filing Data'!$F$23</f>
        <v>20</v>
      </c>
      <c r="G30" s="17">
        <f>'Filing Data'!$G$23</f>
        <v>2027</v>
      </c>
      <c r="H30" s="17">
        <f>'Filing Data'!$H$23</f>
        <v>2031</v>
      </c>
      <c r="I30" s="17">
        <f>'Filing Data'!$I$23</f>
        <v>1</v>
      </c>
      <c r="J30" s="3">
        <f t="shared" si="5"/>
        <v>4</v>
      </c>
      <c r="K30" s="239">
        <f t="shared" si="6"/>
        <v>0.2857142857142857</v>
      </c>
      <c r="L30" s="183">
        <f t="shared" si="15"/>
        <v>0</v>
      </c>
      <c r="M30" s="183">
        <f t="shared" si="15"/>
        <v>0</v>
      </c>
      <c r="N30" s="183">
        <f t="shared" si="15"/>
        <v>2.8571428571428568</v>
      </c>
      <c r="O30" s="183">
        <f t="shared" si="15"/>
        <v>5.7142857142857135</v>
      </c>
      <c r="P30" s="183">
        <f t="shared" si="15"/>
        <v>5.7142857142857126</v>
      </c>
      <c r="Q30" s="183">
        <f t="shared" si="15"/>
        <v>5.7142857142857162</v>
      </c>
      <c r="R30" s="183">
        <f t="shared" si="15"/>
        <v>0</v>
      </c>
      <c r="S30" s="183">
        <f t="shared" si="15"/>
        <v>0</v>
      </c>
      <c r="T30" s="183">
        <f t="shared" si="15"/>
        <v>0</v>
      </c>
      <c r="U30" s="183">
        <f t="shared" si="15"/>
        <v>0</v>
      </c>
      <c r="V30" s="183">
        <f t="shared" si="16"/>
        <v>0</v>
      </c>
      <c r="W30" s="183">
        <f t="shared" si="16"/>
        <v>0</v>
      </c>
      <c r="X30" s="183">
        <f t="shared" si="16"/>
        <v>0</v>
      </c>
      <c r="Y30" s="183">
        <f t="shared" si="16"/>
        <v>0</v>
      </c>
      <c r="Z30" s="183">
        <f t="shared" si="16"/>
        <v>0</v>
      </c>
      <c r="AA30" s="183">
        <f t="shared" si="16"/>
        <v>0</v>
      </c>
      <c r="AB30" s="183">
        <f t="shared" si="16"/>
        <v>0</v>
      </c>
      <c r="AC30" s="183">
        <f t="shared" si="16"/>
        <v>0</v>
      </c>
      <c r="AD30" s="183">
        <f t="shared" si="16"/>
        <v>0</v>
      </c>
      <c r="AE30" s="183">
        <f t="shared" si="16"/>
        <v>0</v>
      </c>
      <c r="AF30" s="183">
        <f t="shared" si="16"/>
        <v>0</v>
      </c>
      <c r="AG30" s="183">
        <f t="shared" si="9"/>
        <v>19.999999999999996</v>
      </c>
      <c r="AH30" s="183">
        <f t="shared" si="10"/>
        <v>0</v>
      </c>
      <c r="AI30" s="31" t="s">
        <v>75</v>
      </c>
      <c r="AJ30" s="36" t="s">
        <v>565</v>
      </c>
    </row>
    <row r="31" spans="4:36" x14ac:dyDescent="0.2">
      <c r="D31" s="4" t="s">
        <v>1029</v>
      </c>
      <c r="E31" s="13" t="str">
        <f>'Filing Data'!$E$24</f>
        <v>TOP</v>
      </c>
      <c r="F31" s="73">
        <f>'Filing Data'!$I$47+MAX(0,'Filing Data'!$I$46-SUM(M22:AF23))</f>
        <v>6.6</v>
      </c>
      <c r="G31" s="15">
        <f>'Filing Data'!$G$24</f>
        <v>2026.75</v>
      </c>
      <c r="H31" s="15">
        <f>'Filing Data'!$H$24</f>
        <v>2027.75</v>
      </c>
      <c r="I31" s="15">
        <f>'Filing Data'!$I$24</f>
        <v>0</v>
      </c>
      <c r="J31" s="74">
        <f t="shared" si="5"/>
        <v>1</v>
      </c>
      <c r="K31" s="238">
        <f t="shared" si="6"/>
        <v>1</v>
      </c>
      <c r="L31" s="73">
        <f t="shared" si="15"/>
        <v>0</v>
      </c>
      <c r="M31" s="73">
        <f t="shared" si="15"/>
        <v>1.65</v>
      </c>
      <c r="N31" s="73">
        <f t="shared" si="15"/>
        <v>4.9499999999999993</v>
      </c>
      <c r="O31" s="73">
        <f t="shared" si="15"/>
        <v>0</v>
      </c>
      <c r="P31" s="73">
        <f t="shared" si="15"/>
        <v>0</v>
      </c>
      <c r="Q31" s="73">
        <f t="shared" si="15"/>
        <v>0</v>
      </c>
      <c r="R31" s="73">
        <f t="shared" si="15"/>
        <v>0</v>
      </c>
      <c r="S31" s="73">
        <f t="shared" si="15"/>
        <v>0</v>
      </c>
      <c r="T31" s="73">
        <f t="shared" si="15"/>
        <v>0</v>
      </c>
      <c r="U31" s="73">
        <f t="shared" si="15"/>
        <v>0</v>
      </c>
      <c r="V31" s="73">
        <f t="shared" si="16"/>
        <v>0</v>
      </c>
      <c r="W31" s="73">
        <f t="shared" si="16"/>
        <v>0</v>
      </c>
      <c r="X31" s="73">
        <f t="shared" si="16"/>
        <v>0</v>
      </c>
      <c r="Y31" s="73">
        <f t="shared" si="16"/>
        <v>0</v>
      </c>
      <c r="Z31" s="73">
        <f t="shared" si="16"/>
        <v>0</v>
      </c>
      <c r="AA31" s="73">
        <f t="shared" si="16"/>
        <v>0</v>
      </c>
      <c r="AB31" s="73">
        <f t="shared" si="16"/>
        <v>0</v>
      </c>
      <c r="AC31" s="73">
        <f t="shared" si="16"/>
        <v>0</v>
      </c>
      <c r="AD31" s="73">
        <f t="shared" si="16"/>
        <v>0</v>
      </c>
      <c r="AE31" s="73">
        <f t="shared" si="16"/>
        <v>0</v>
      </c>
      <c r="AF31" s="73">
        <f t="shared" si="16"/>
        <v>0</v>
      </c>
      <c r="AG31" s="73">
        <f t="shared" si="9"/>
        <v>6.6</v>
      </c>
      <c r="AH31" s="73">
        <f t="shared" si="10"/>
        <v>0</v>
      </c>
      <c r="AI31" s="4" t="s">
        <v>381</v>
      </c>
      <c r="AJ31" s="4" t="s">
        <v>567</v>
      </c>
    </row>
    <row r="32" spans="4:36" ht="51" x14ac:dyDescent="0.2">
      <c r="D32" s="31" t="s">
        <v>928</v>
      </c>
      <c r="E32" s="2" t="str">
        <f>'Filing Data'!$E$25</f>
        <v>POD</v>
      </c>
      <c r="F32" s="183">
        <f>MAX(0,'Filing Data'!$I$49-(F27+F28))</f>
        <v>127.9</v>
      </c>
      <c r="G32" s="17">
        <f>'Filing Data'!$G$25</f>
        <v>2027.5</v>
      </c>
      <c r="H32" s="17">
        <f>'Filing Data'!$H$25</f>
        <v>2042</v>
      </c>
      <c r="I32" s="17">
        <f>'Filing Data'!$I$25</f>
        <v>1.5</v>
      </c>
      <c r="J32" s="3">
        <f t="shared" ref="J32" si="17">H32-G32</f>
        <v>14.5</v>
      </c>
      <c r="K32" s="239">
        <f t="shared" ref="K32" si="18">IF(I32=0,1/J32,1/(J32-I32/2))</f>
        <v>7.2727272727272724E-2</v>
      </c>
      <c r="L32" s="183">
        <f t="shared" si="15"/>
        <v>0</v>
      </c>
      <c r="M32" s="183">
        <f t="shared" si="15"/>
        <v>0</v>
      </c>
      <c r="N32" s="183">
        <f t="shared" si="15"/>
        <v>0.77515151515151504</v>
      </c>
      <c r="O32" s="183">
        <f t="shared" si="15"/>
        <v>6.2012121212121212</v>
      </c>
      <c r="P32" s="183">
        <f t="shared" si="15"/>
        <v>9.3018181818181827</v>
      </c>
      <c r="Q32" s="183">
        <f t="shared" si="15"/>
        <v>9.3018181818181827</v>
      </c>
      <c r="R32" s="183">
        <f t="shared" si="15"/>
        <v>9.3018181818181827</v>
      </c>
      <c r="S32" s="183">
        <f t="shared" si="15"/>
        <v>9.3018181818181862</v>
      </c>
      <c r="T32" s="183">
        <f t="shared" si="15"/>
        <v>9.3018181818181791</v>
      </c>
      <c r="U32" s="183">
        <f t="shared" si="15"/>
        <v>9.3018181818181862</v>
      </c>
      <c r="V32" s="183">
        <f t="shared" si="16"/>
        <v>9.3018181818181791</v>
      </c>
      <c r="W32" s="183">
        <f t="shared" si="16"/>
        <v>9.3018181818181862</v>
      </c>
      <c r="X32" s="183">
        <f t="shared" si="16"/>
        <v>9.3018181818181862</v>
      </c>
      <c r="Y32" s="183">
        <f t="shared" si="16"/>
        <v>9.301818181818172</v>
      </c>
      <c r="Z32" s="183">
        <f t="shared" si="16"/>
        <v>9.3018181818181862</v>
      </c>
      <c r="AA32" s="183">
        <f t="shared" si="16"/>
        <v>9.3018181818181862</v>
      </c>
      <c r="AB32" s="183">
        <f t="shared" si="16"/>
        <v>9.3018181818181862</v>
      </c>
      <c r="AC32" s="183">
        <f t="shared" si="16"/>
        <v>0</v>
      </c>
      <c r="AD32" s="183">
        <f t="shared" si="16"/>
        <v>0</v>
      </c>
      <c r="AE32" s="183">
        <f t="shared" si="16"/>
        <v>0</v>
      </c>
      <c r="AF32" s="183">
        <f t="shared" si="16"/>
        <v>0</v>
      </c>
      <c r="AG32" s="183">
        <f t="shared" ref="AG32" si="19">SUM(L32:AF32)</f>
        <v>127.90000000000005</v>
      </c>
      <c r="AH32" s="183">
        <f t="shared" ref="AH32" si="20">AG32-F32</f>
        <v>0</v>
      </c>
      <c r="AI32" s="31" t="s">
        <v>569</v>
      </c>
      <c r="AJ32" s="36" t="s">
        <v>570</v>
      </c>
    </row>
    <row r="33" spans="3:36" ht="51" x14ac:dyDescent="0.2">
      <c r="D33" s="31" t="s">
        <v>929</v>
      </c>
      <c r="E33" s="2" t="str">
        <f>'Filing Data'!$E$26</f>
        <v>RES</v>
      </c>
      <c r="F33" s="183">
        <f>$F$71-(F15+F16+F17+$F$53+F22+F23+F27+F28)-(F19+F21)-F32-F31</f>
        <v>178.64635915436321</v>
      </c>
      <c r="G33" s="17">
        <f>'Filing Data'!$G$26</f>
        <v>2027</v>
      </c>
      <c r="H33" s="17">
        <f>'Filing Data'!$H$26</f>
        <v>2045</v>
      </c>
      <c r="I33" s="17">
        <f>'Filing Data'!$I$26</f>
        <v>3</v>
      </c>
      <c r="J33" s="3">
        <f t="shared" si="5"/>
        <v>18</v>
      </c>
      <c r="K33" s="239">
        <f t="shared" si="6"/>
        <v>6.0606060606060608E-2</v>
      </c>
      <c r="L33" s="183">
        <f t="shared" si="15"/>
        <v>0</v>
      </c>
      <c r="M33" s="183">
        <f t="shared" si="15"/>
        <v>0</v>
      </c>
      <c r="N33" s="183">
        <f t="shared" si="15"/>
        <v>1.8045086783269009</v>
      </c>
      <c r="O33" s="183">
        <f t="shared" si="15"/>
        <v>5.4135260349807028</v>
      </c>
      <c r="P33" s="183">
        <f t="shared" si="15"/>
        <v>9.0225433916345068</v>
      </c>
      <c r="Q33" s="183">
        <f t="shared" si="15"/>
        <v>10.827052069961407</v>
      </c>
      <c r="R33" s="183">
        <f t="shared" si="15"/>
        <v>10.827052069961407</v>
      </c>
      <c r="S33" s="183">
        <f t="shared" si="15"/>
        <v>10.827052069961402</v>
      </c>
      <c r="T33" s="183">
        <f t="shared" si="15"/>
        <v>10.827052069961416</v>
      </c>
      <c r="U33" s="183">
        <f t="shared" si="15"/>
        <v>10.827052069961397</v>
      </c>
      <c r="V33" s="183">
        <f t="shared" si="16"/>
        <v>10.827052069961416</v>
      </c>
      <c r="W33" s="183">
        <f t="shared" si="16"/>
        <v>10.827052069961397</v>
      </c>
      <c r="X33" s="183">
        <f t="shared" si="16"/>
        <v>10.827052069961416</v>
      </c>
      <c r="Y33" s="183">
        <f t="shared" si="16"/>
        <v>10.827052069961397</v>
      </c>
      <c r="Z33" s="183">
        <f t="shared" si="16"/>
        <v>10.827052069961416</v>
      </c>
      <c r="AA33" s="183">
        <f t="shared" si="16"/>
        <v>10.827052069961397</v>
      </c>
      <c r="AB33" s="183">
        <f t="shared" si="16"/>
        <v>10.827052069961416</v>
      </c>
      <c r="AC33" s="183">
        <f t="shared" si="16"/>
        <v>10.827052069961397</v>
      </c>
      <c r="AD33" s="183">
        <f t="shared" si="16"/>
        <v>10.827052069961416</v>
      </c>
      <c r="AE33" s="183">
        <f t="shared" si="16"/>
        <v>10.827052069961397</v>
      </c>
      <c r="AF33" s="183">
        <f t="shared" si="16"/>
        <v>0</v>
      </c>
      <c r="AG33" s="183">
        <f t="shared" si="9"/>
        <v>178.64635915436321</v>
      </c>
      <c r="AH33" s="183">
        <f t="shared" si="10"/>
        <v>0</v>
      </c>
      <c r="AI33" s="31" t="s">
        <v>569</v>
      </c>
      <c r="AJ33" s="36" t="s">
        <v>570</v>
      </c>
    </row>
    <row r="34" spans="3:36" x14ac:dyDescent="0.2">
      <c r="D34" s="11" t="s">
        <v>571</v>
      </c>
      <c r="F34" s="170">
        <f>SUM(F15:F33)</f>
        <v>1143.8189999999986</v>
      </c>
      <c r="L34" s="170">
        <f t="shared" ref="L34:AG34" si="21">SUM(L15:L33)</f>
        <v>7.7321863885707982</v>
      </c>
      <c r="M34" s="170">
        <f t="shared" si="21"/>
        <v>15.219717927551079</v>
      </c>
      <c r="N34" s="170">
        <f t="shared" si="21"/>
        <v>106.82459479728111</v>
      </c>
      <c r="O34" s="170">
        <f t="shared" si="21"/>
        <v>155.38625025141366</v>
      </c>
      <c r="P34" s="170">
        <f t="shared" si="21"/>
        <v>147.40916533534519</v>
      </c>
      <c r="Q34" s="170">
        <f t="shared" si="21"/>
        <v>138.34863234700342</v>
      </c>
      <c r="R34" s="170">
        <f t="shared" si="21"/>
        <v>134.6730309574356</v>
      </c>
      <c r="S34" s="170">
        <f t="shared" si="21"/>
        <v>113.48778453092324</v>
      </c>
      <c r="T34" s="170">
        <f t="shared" si="21"/>
        <v>77.747741462576684</v>
      </c>
      <c r="U34" s="170">
        <f t="shared" si="21"/>
        <v>57.351092474001788</v>
      </c>
      <c r="V34" s="170">
        <f t="shared" si="21"/>
        <v>32.351092474001824</v>
      </c>
      <c r="W34" s="170">
        <f t="shared" si="21"/>
        <v>24.162203585112032</v>
      </c>
      <c r="X34" s="170">
        <f t="shared" si="21"/>
        <v>20.128870251779603</v>
      </c>
      <c r="Y34" s="170">
        <f t="shared" si="21"/>
        <v>20.128870251779567</v>
      </c>
      <c r="Z34" s="170">
        <f t="shared" si="21"/>
        <v>20.128870251779603</v>
      </c>
      <c r="AA34" s="170">
        <f t="shared" si="21"/>
        <v>20.128870251779581</v>
      </c>
      <c r="AB34" s="170">
        <f t="shared" si="21"/>
        <v>20.128870251779603</v>
      </c>
      <c r="AC34" s="170">
        <f t="shared" si="21"/>
        <v>10.827052069961397</v>
      </c>
      <c r="AD34" s="170">
        <f t="shared" si="21"/>
        <v>10.827052069961416</v>
      </c>
      <c r="AE34" s="170">
        <f t="shared" si="21"/>
        <v>10.827052069961397</v>
      </c>
      <c r="AF34" s="170">
        <f t="shared" si="21"/>
        <v>0</v>
      </c>
      <c r="AG34" s="170">
        <f t="shared" si="21"/>
        <v>1143.8189999999988</v>
      </c>
      <c r="AI34" s="4" t="s">
        <v>572</v>
      </c>
    </row>
    <row r="36" spans="3:36" x14ac:dyDescent="0.2">
      <c r="C36" s="200" t="s">
        <v>8</v>
      </c>
      <c r="D36" s="203" t="s">
        <v>573</v>
      </c>
      <c r="E36" s="215"/>
      <c r="F36" s="215"/>
      <c r="G36" s="215"/>
      <c r="H36" s="215"/>
      <c r="I36" s="215"/>
      <c r="J36" s="215"/>
      <c r="K36" s="215"/>
      <c r="L36" s="215"/>
      <c r="M36" s="215"/>
      <c r="N36" s="215"/>
      <c r="O36" s="215"/>
      <c r="P36" s="215"/>
      <c r="Q36" s="215"/>
      <c r="R36" s="215"/>
      <c r="S36" s="215"/>
      <c r="T36" s="215"/>
      <c r="U36" s="215"/>
      <c r="V36" s="215"/>
      <c r="W36" s="215"/>
      <c r="X36" s="215"/>
      <c r="Y36" s="215"/>
      <c r="Z36" s="215"/>
      <c r="AA36" s="215"/>
      <c r="AB36" s="215"/>
      <c r="AC36" s="215"/>
      <c r="AD36" s="215"/>
      <c r="AE36" s="215"/>
      <c r="AF36" s="215"/>
      <c r="AG36" s="215"/>
      <c r="AH36" s="215"/>
      <c r="AI36" s="215"/>
      <c r="AJ36" s="215"/>
    </row>
    <row r="37" spans="3:36" x14ac:dyDescent="0.2">
      <c r="D37" s="4" t="s">
        <v>574</v>
      </c>
      <c r="E37" s="4" t="s">
        <v>524</v>
      </c>
      <c r="F37" s="73">
        <f>SUMIF($E$15:$E$33,$E37,F$15:F$33)</f>
        <v>502.94664084563681</v>
      </c>
      <c r="L37" s="73">
        <f t="shared" ref="L37:U41" si="22">SUMIF($E$15:$E$33,$E37,L$15:L$33)</f>
        <v>7.7321863885707982</v>
      </c>
      <c r="M37" s="73">
        <f t="shared" si="22"/>
        <v>15.11646792755108</v>
      </c>
      <c r="N37" s="73">
        <f t="shared" si="22"/>
        <v>70.662583413326715</v>
      </c>
      <c r="O37" s="73">
        <f t="shared" si="22"/>
        <v>75.811393047604938</v>
      </c>
      <c r="P37" s="73">
        <f t="shared" si="22"/>
        <v>76.144143047604786</v>
      </c>
      <c r="Q37" s="73">
        <f t="shared" si="22"/>
        <v>76.144143047604786</v>
      </c>
      <c r="R37" s="73">
        <f t="shared" si="22"/>
        <v>74.01616070565602</v>
      </c>
      <c r="S37" s="73">
        <f t="shared" si="22"/>
        <v>52.83091427914367</v>
      </c>
      <c r="T37" s="73">
        <f t="shared" si="22"/>
        <v>26.010871210797081</v>
      </c>
      <c r="U37" s="73">
        <f t="shared" si="22"/>
        <v>12.222222222222216</v>
      </c>
      <c r="V37" s="73">
        <f t="shared" ref="V37:AG41" si="23">SUMIF($E$15:$E$33,$E37,V$15:V$33)</f>
        <v>12.222222222222229</v>
      </c>
      <c r="W37" s="73">
        <f t="shared" si="23"/>
        <v>4.0333333333324495</v>
      </c>
      <c r="X37" s="73">
        <f t="shared" si="23"/>
        <v>0</v>
      </c>
      <c r="Y37" s="73">
        <f t="shared" si="23"/>
        <v>0</v>
      </c>
      <c r="Z37" s="73">
        <f t="shared" si="23"/>
        <v>0</v>
      </c>
      <c r="AA37" s="73">
        <f t="shared" si="23"/>
        <v>0</v>
      </c>
      <c r="AB37" s="73">
        <f t="shared" si="23"/>
        <v>0</v>
      </c>
      <c r="AC37" s="73">
        <f t="shared" si="23"/>
        <v>0</v>
      </c>
      <c r="AD37" s="73">
        <f t="shared" si="23"/>
        <v>0</v>
      </c>
      <c r="AE37" s="73">
        <f t="shared" si="23"/>
        <v>0</v>
      </c>
      <c r="AF37" s="73">
        <f t="shared" si="23"/>
        <v>0</v>
      </c>
      <c r="AG37" s="73">
        <f t="shared" si="23"/>
        <v>502.94664084563681</v>
      </c>
    </row>
    <row r="38" spans="3:36" x14ac:dyDescent="0.2">
      <c r="D38" s="4" t="s">
        <v>949</v>
      </c>
      <c r="E38" s="4" t="s">
        <v>557</v>
      </c>
      <c r="F38" s="73">
        <f>SUMIF($E$15:$E$33,$E38,F$15:F$33)</f>
        <v>213.8</v>
      </c>
      <c r="L38" s="73">
        <f t="shared" si="22"/>
        <v>0</v>
      </c>
      <c r="M38" s="73">
        <f t="shared" si="22"/>
        <v>0.10324999999999999</v>
      </c>
      <c r="N38" s="73">
        <f t="shared" si="22"/>
        <v>5.4831515151515156</v>
      </c>
      <c r="O38" s="73">
        <f t="shared" si="22"/>
        <v>18.569962121212122</v>
      </c>
      <c r="P38" s="73">
        <f t="shared" si="22"/>
        <v>24.829818181818183</v>
      </c>
      <c r="Q38" s="73">
        <f t="shared" si="22"/>
        <v>24.829818181818187</v>
      </c>
      <c r="R38" s="73">
        <f t="shared" si="22"/>
        <v>24.829818181818183</v>
      </c>
      <c r="S38" s="73">
        <f t="shared" si="22"/>
        <v>24.829818181818183</v>
      </c>
      <c r="T38" s="73">
        <f t="shared" si="22"/>
        <v>15.90981818181818</v>
      </c>
      <c r="U38" s="73">
        <f t="shared" si="22"/>
        <v>9.3018181818181862</v>
      </c>
      <c r="V38" s="73">
        <f t="shared" si="23"/>
        <v>9.3018181818181791</v>
      </c>
      <c r="W38" s="73">
        <f t="shared" si="23"/>
        <v>9.3018181818181862</v>
      </c>
      <c r="X38" s="73">
        <f t="shared" si="23"/>
        <v>9.3018181818181862</v>
      </c>
      <c r="Y38" s="73">
        <f t="shared" si="23"/>
        <v>9.301818181818172</v>
      </c>
      <c r="Z38" s="73">
        <f t="shared" si="23"/>
        <v>9.3018181818181862</v>
      </c>
      <c r="AA38" s="73">
        <f t="shared" si="23"/>
        <v>9.3018181818181862</v>
      </c>
      <c r="AB38" s="73">
        <f t="shared" si="23"/>
        <v>9.3018181818181862</v>
      </c>
      <c r="AC38" s="73">
        <f t="shared" si="23"/>
        <v>0</v>
      </c>
      <c r="AD38" s="73">
        <f t="shared" si="23"/>
        <v>0</v>
      </c>
      <c r="AE38" s="73">
        <f t="shared" si="23"/>
        <v>0</v>
      </c>
      <c r="AF38" s="73">
        <f t="shared" si="23"/>
        <v>0</v>
      </c>
      <c r="AG38" s="73">
        <f t="shared" si="23"/>
        <v>213.80000000000007</v>
      </c>
    </row>
    <row r="39" spans="3:36" x14ac:dyDescent="0.2">
      <c r="D39" s="4" t="s">
        <v>575</v>
      </c>
      <c r="E39" s="4" t="s">
        <v>562</v>
      </c>
      <c r="F39" s="73">
        <f>SUMIF($E$15:$E$33,$E39,F$15:F$33)</f>
        <v>157.5</v>
      </c>
      <c r="L39" s="73">
        <f t="shared" si="22"/>
        <v>0</v>
      </c>
      <c r="M39" s="73">
        <f t="shared" si="22"/>
        <v>0</v>
      </c>
      <c r="N39" s="73">
        <f t="shared" si="22"/>
        <v>2.8571428571428568</v>
      </c>
      <c r="O39" s="73">
        <f t="shared" si="22"/>
        <v>9.8809523809523796</v>
      </c>
      <c r="P39" s="73">
        <f t="shared" si="22"/>
        <v>18.214285714285712</v>
      </c>
      <c r="Q39" s="73">
        <f t="shared" si="22"/>
        <v>26.547619047619044</v>
      </c>
      <c r="R39" s="73">
        <f t="shared" si="22"/>
        <v>25.000000000000007</v>
      </c>
      <c r="S39" s="73">
        <f t="shared" si="22"/>
        <v>24.999999999999993</v>
      </c>
      <c r="T39" s="73">
        <f t="shared" si="22"/>
        <v>25.000000000000007</v>
      </c>
      <c r="U39" s="73">
        <f t="shared" si="22"/>
        <v>24.999999999999993</v>
      </c>
      <c r="V39" s="73">
        <f t="shared" si="23"/>
        <v>0</v>
      </c>
      <c r="W39" s="73">
        <f t="shared" si="23"/>
        <v>0</v>
      </c>
      <c r="X39" s="73">
        <f t="shared" si="23"/>
        <v>0</v>
      </c>
      <c r="Y39" s="73">
        <f t="shared" si="23"/>
        <v>0</v>
      </c>
      <c r="Z39" s="73">
        <f t="shared" si="23"/>
        <v>0</v>
      </c>
      <c r="AA39" s="73">
        <f t="shared" si="23"/>
        <v>0</v>
      </c>
      <c r="AB39" s="73">
        <f t="shared" si="23"/>
        <v>0</v>
      </c>
      <c r="AC39" s="73">
        <f t="shared" si="23"/>
        <v>0</v>
      </c>
      <c r="AD39" s="73">
        <f t="shared" si="23"/>
        <v>0</v>
      </c>
      <c r="AE39" s="73">
        <f t="shared" si="23"/>
        <v>0</v>
      </c>
      <c r="AF39" s="73">
        <f t="shared" si="23"/>
        <v>0</v>
      </c>
      <c r="AG39" s="73">
        <f t="shared" si="23"/>
        <v>157.5</v>
      </c>
    </row>
    <row r="40" spans="3:36" x14ac:dyDescent="0.2">
      <c r="D40" s="4" t="s">
        <v>576</v>
      </c>
      <c r="E40" s="4" t="s">
        <v>549</v>
      </c>
      <c r="F40" s="73">
        <f>SUMIF($E$15:$E$33,$E40,F$15:F$33)</f>
        <v>90.925999999998638</v>
      </c>
      <c r="L40" s="73">
        <f t="shared" si="22"/>
        <v>0</v>
      </c>
      <c r="M40" s="73">
        <f t="shared" si="22"/>
        <v>0</v>
      </c>
      <c r="N40" s="73">
        <f t="shared" si="22"/>
        <v>26.017208333333116</v>
      </c>
      <c r="O40" s="73">
        <f t="shared" si="22"/>
        <v>45.710416666663519</v>
      </c>
      <c r="P40" s="73">
        <f t="shared" si="22"/>
        <v>19.198375000002006</v>
      </c>
      <c r="Q40" s="73">
        <f t="shared" si="22"/>
        <v>0</v>
      </c>
      <c r="R40" s="73">
        <f t="shared" si="22"/>
        <v>0</v>
      </c>
      <c r="S40" s="73">
        <f t="shared" si="22"/>
        <v>0</v>
      </c>
      <c r="T40" s="73">
        <f t="shared" si="22"/>
        <v>0</v>
      </c>
      <c r="U40" s="73">
        <f t="shared" si="22"/>
        <v>0</v>
      </c>
      <c r="V40" s="73">
        <f t="shared" si="23"/>
        <v>0</v>
      </c>
      <c r="W40" s="73">
        <f t="shared" si="23"/>
        <v>0</v>
      </c>
      <c r="X40" s="73">
        <f t="shared" si="23"/>
        <v>0</v>
      </c>
      <c r="Y40" s="73">
        <f t="shared" si="23"/>
        <v>0</v>
      </c>
      <c r="Z40" s="73">
        <f t="shared" si="23"/>
        <v>0</v>
      </c>
      <c r="AA40" s="73">
        <f t="shared" si="23"/>
        <v>0</v>
      </c>
      <c r="AB40" s="73">
        <f t="shared" si="23"/>
        <v>0</v>
      </c>
      <c r="AC40" s="73">
        <f t="shared" si="23"/>
        <v>0</v>
      </c>
      <c r="AD40" s="73">
        <f t="shared" si="23"/>
        <v>0</v>
      </c>
      <c r="AE40" s="73">
        <f t="shared" si="23"/>
        <v>0</v>
      </c>
      <c r="AF40" s="73">
        <f t="shared" si="23"/>
        <v>0</v>
      </c>
      <c r="AG40" s="73">
        <f t="shared" si="23"/>
        <v>90.925999999998638</v>
      </c>
    </row>
    <row r="41" spans="3:36" x14ac:dyDescent="0.2">
      <c r="D41" s="4" t="s">
        <v>950</v>
      </c>
      <c r="E41" s="4" t="s">
        <v>568</v>
      </c>
      <c r="F41" s="73">
        <f>SUMIF($E$15:$E$33,$E41,F$15:F$33)</f>
        <v>178.64635915436321</v>
      </c>
      <c r="L41" s="73">
        <f t="shared" si="22"/>
        <v>0</v>
      </c>
      <c r="M41" s="73">
        <f t="shared" si="22"/>
        <v>0</v>
      </c>
      <c r="N41" s="73">
        <f t="shared" si="22"/>
        <v>1.8045086783269009</v>
      </c>
      <c r="O41" s="73">
        <f t="shared" si="22"/>
        <v>5.4135260349807028</v>
      </c>
      <c r="P41" s="73">
        <f t="shared" si="22"/>
        <v>9.0225433916345068</v>
      </c>
      <c r="Q41" s="73">
        <f t="shared" si="22"/>
        <v>10.827052069961407</v>
      </c>
      <c r="R41" s="73">
        <f t="shared" si="22"/>
        <v>10.827052069961407</v>
      </c>
      <c r="S41" s="73">
        <f t="shared" si="22"/>
        <v>10.827052069961402</v>
      </c>
      <c r="T41" s="73">
        <f t="shared" si="22"/>
        <v>10.827052069961416</v>
      </c>
      <c r="U41" s="73">
        <f t="shared" si="22"/>
        <v>10.827052069961397</v>
      </c>
      <c r="V41" s="73">
        <f t="shared" si="23"/>
        <v>10.827052069961416</v>
      </c>
      <c r="W41" s="73">
        <f t="shared" si="23"/>
        <v>10.827052069961397</v>
      </c>
      <c r="X41" s="73">
        <f t="shared" si="23"/>
        <v>10.827052069961416</v>
      </c>
      <c r="Y41" s="73">
        <f t="shared" si="23"/>
        <v>10.827052069961397</v>
      </c>
      <c r="Z41" s="73">
        <f t="shared" si="23"/>
        <v>10.827052069961416</v>
      </c>
      <c r="AA41" s="73">
        <f t="shared" si="23"/>
        <v>10.827052069961397</v>
      </c>
      <c r="AB41" s="73">
        <f t="shared" si="23"/>
        <v>10.827052069961416</v>
      </c>
      <c r="AC41" s="73">
        <f t="shared" si="23"/>
        <v>10.827052069961397</v>
      </c>
      <c r="AD41" s="73">
        <f t="shared" si="23"/>
        <v>10.827052069961416</v>
      </c>
      <c r="AE41" s="73">
        <f t="shared" si="23"/>
        <v>10.827052069961397</v>
      </c>
      <c r="AF41" s="73">
        <f t="shared" si="23"/>
        <v>0</v>
      </c>
      <c r="AG41" s="73">
        <f t="shared" si="23"/>
        <v>178.64635915436321</v>
      </c>
    </row>
    <row r="43" spans="3:36" x14ac:dyDescent="0.2">
      <c r="D43" s="11" t="s">
        <v>577</v>
      </c>
      <c r="L43" s="170">
        <f>L37+Inputs!$K$169*L38+Inputs!$K$170*L39+Inputs!$K$171*L40+Inputs!$K$172*L41</f>
        <v>7.7321863885707982</v>
      </c>
      <c r="M43" s="170">
        <f>M37+Inputs!$K$169*M38+Inputs!$K$170*M39+Inputs!$K$171*M40+Inputs!$K$172*M41</f>
        <v>15.199067927551079</v>
      </c>
      <c r="N43" s="170">
        <f>N37+Inputs!$K$169*N38+Inputs!$K$170*N39+Inputs!$K$171*N40+Inputs!$K$172*N41</f>
        <v>79.710756160917683</v>
      </c>
      <c r="O43" s="170">
        <f>O37+Inputs!$K$169*O38+Inputs!$K$170*O39+Inputs!$K$171*O40+Inputs!$K$172*O41</f>
        <v>105.96184116050772</v>
      </c>
      <c r="P43" s="170">
        <f>P37+Inputs!$K$169*P38+Inputs!$K$170*P39+Inputs!$K$171*P40+Inputs!$K$172*P41</f>
        <v>123.24482669897955</v>
      </c>
      <c r="Q43" s="170">
        <f>Q37+Inputs!$K$169*Q38+Inputs!$K$170*Q39+Inputs!$K$171*Q40+Inputs!$K$172*Q41</f>
        <v>133.38266871063979</v>
      </c>
      <c r="R43" s="170">
        <f>R37+Inputs!$K$169*R38+Inputs!$K$170*R39+Inputs!$K$171*R40+Inputs!$K$172*R41</f>
        <v>129.70706732107197</v>
      </c>
      <c r="S43" s="170">
        <f>S37+Inputs!$K$169*S38+Inputs!$K$170*S39+Inputs!$K$171*S40+Inputs!$K$172*S41</f>
        <v>108.52182089455961</v>
      </c>
      <c r="T43" s="170">
        <f>T37+Inputs!$K$169*T38+Inputs!$K$170*T39+Inputs!$K$171*T40+Inputs!$K$172*T41</f>
        <v>74.565777826213051</v>
      </c>
      <c r="U43" s="170">
        <f>U37+Inputs!$K$169*U38+Inputs!$K$170*U39+Inputs!$K$171*U40+Inputs!$K$172*U41</f>
        <v>55.490728837638159</v>
      </c>
      <c r="V43" s="170">
        <f>V37+Inputs!$K$169*V38+Inputs!$K$170*V39+Inputs!$K$171*V40+Inputs!$K$172*V41</f>
        <v>30.490728837638187</v>
      </c>
      <c r="W43" s="170">
        <f>W37+Inputs!$K$169*W38+Inputs!$K$170*W39+Inputs!$K$171*W40+Inputs!$K$172*W41</f>
        <v>22.301839948748395</v>
      </c>
      <c r="X43" s="170">
        <f>X37+Inputs!$K$169*X38+Inputs!$K$170*X39+Inputs!$K$171*X40+Inputs!$K$172*X41</f>
        <v>18.268506615415966</v>
      </c>
      <c r="Y43" s="170">
        <f>Y37+Inputs!$K$169*Y38+Inputs!$K$170*Y39+Inputs!$K$171*Y40+Inputs!$K$172*Y41</f>
        <v>18.268506615415934</v>
      </c>
      <c r="Z43" s="170">
        <f>Z37+Inputs!$K$169*Z38+Inputs!$K$170*Z39+Inputs!$K$171*Z40+Inputs!$K$172*Z41</f>
        <v>18.268506615415966</v>
      </c>
      <c r="AA43" s="170">
        <f>AA37+Inputs!$K$169*AA38+Inputs!$K$170*AA39+Inputs!$K$171*AA40+Inputs!$K$172*AA41</f>
        <v>18.268506615415944</v>
      </c>
      <c r="AB43" s="170">
        <f>AB37+Inputs!$K$169*AB38+Inputs!$K$170*AB39+Inputs!$K$171*AB40+Inputs!$K$172*AB41</f>
        <v>18.268506615415966</v>
      </c>
      <c r="AC43" s="170">
        <f>AC37+Inputs!$K$169*AC38+Inputs!$K$170*AC39+Inputs!$K$171*AC40+Inputs!$K$172*AC41</f>
        <v>10.827052069961397</v>
      </c>
      <c r="AD43" s="170">
        <f>AD37+Inputs!$K$169*AD38+Inputs!$K$170*AD39+Inputs!$K$171*AD40+Inputs!$K$172*AD41</f>
        <v>10.827052069961416</v>
      </c>
      <c r="AE43" s="170">
        <f>AE37+Inputs!$K$169*AE38+Inputs!$K$170*AE39+Inputs!$K$171*AE40+Inputs!$K$172*AE41</f>
        <v>10.827052069961397</v>
      </c>
      <c r="AF43" s="170">
        <f>AF37+Inputs!$K$169*AF38+Inputs!$K$170*AF39+Inputs!$K$171*AF40+Inputs!$K$172*AF41</f>
        <v>0</v>
      </c>
      <c r="AG43" s="170">
        <f>AG37+Inputs!$K$169*AG38+Inputs!$K$170*AG39+Inputs!$K$171*AG40+Inputs!$K$172*AG41</f>
        <v>1010.133</v>
      </c>
    </row>
    <row r="44" spans="3:36" x14ac:dyDescent="0.2">
      <c r="D44" s="4" t="s">
        <v>578</v>
      </c>
      <c r="L44" s="73">
        <f t="shared" ref="L44:AG44" si="24">L18+L20</f>
        <v>0</v>
      </c>
      <c r="M44" s="73">
        <f t="shared" si="24"/>
        <v>1.5339823419487928</v>
      </c>
      <c r="N44" s="73">
        <f t="shared" si="24"/>
        <v>17.150971709765106</v>
      </c>
      <c r="O44" s="73">
        <f t="shared" si="24"/>
        <v>29.426919520442649</v>
      </c>
      <c r="P44" s="73">
        <f t="shared" si="24"/>
        <v>31.417696020557052</v>
      </c>
      <c r="Q44" s="73">
        <f t="shared" si="24"/>
        <v>33.543151621915932</v>
      </c>
      <c r="R44" s="73">
        <f t="shared" si="24"/>
        <v>33.684415231528334</v>
      </c>
      <c r="S44" s="73">
        <f t="shared" si="24"/>
        <v>14.442863553842132</v>
      </c>
      <c r="T44" s="73">
        <f t="shared" si="24"/>
        <v>0</v>
      </c>
      <c r="U44" s="73">
        <f t="shared" si="24"/>
        <v>0</v>
      </c>
      <c r="V44" s="73">
        <f t="shared" si="24"/>
        <v>0</v>
      </c>
      <c r="W44" s="73">
        <f t="shared" si="24"/>
        <v>0</v>
      </c>
      <c r="X44" s="73">
        <f t="shared" si="24"/>
        <v>0</v>
      </c>
      <c r="Y44" s="73">
        <f t="shared" si="24"/>
        <v>0</v>
      </c>
      <c r="Z44" s="73">
        <f t="shared" si="24"/>
        <v>0</v>
      </c>
      <c r="AA44" s="73">
        <f t="shared" si="24"/>
        <v>0</v>
      </c>
      <c r="AB44" s="73">
        <f t="shared" si="24"/>
        <v>0</v>
      </c>
      <c r="AC44" s="73">
        <f t="shared" si="24"/>
        <v>0</v>
      </c>
      <c r="AD44" s="73">
        <f t="shared" si="24"/>
        <v>0</v>
      </c>
      <c r="AE44" s="73">
        <f t="shared" si="24"/>
        <v>0</v>
      </c>
      <c r="AF44" s="73">
        <f t="shared" si="24"/>
        <v>0</v>
      </c>
      <c r="AG44" s="73">
        <f t="shared" si="24"/>
        <v>161.19999999999999</v>
      </c>
    </row>
    <row r="45" spans="3:36" x14ac:dyDescent="0.2">
      <c r="D45" s="4" t="s">
        <v>579</v>
      </c>
      <c r="L45" s="73">
        <f t="shared" ref="L45:AG45" si="25">L19+L21</f>
        <v>0</v>
      </c>
      <c r="M45" s="73">
        <f t="shared" si="25"/>
        <v>0.59399999999998876</v>
      </c>
      <c r="N45" s="73">
        <f t="shared" si="25"/>
        <v>6.1622570586959995</v>
      </c>
      <c r="O45" s="73">
        <f t="shared" si="25"/>
        <v>8.6876086486844351</v>
      </c>
      <c r="P45" s="73">
        <f t="shared" si="25"/>
        <v>6.6968321485700333</v>
      </c>
      <c r="Q45" s="73">
        <f t="shared" si="25"/>
        <v>4.5713765472111545</v>
      </c>
      <c r="R45" s="73">
        <f t="shared" si="25"/>
        <v>2.3021305956499711</v>
      </c>
      <c r="S45" s="73">
        <f t="shared" si="25"/>
        <v>0.35843584682384666</v>
      </c>
      <c r="T45" s="73">
        <f t="shared" si="25"/>
        <v>0</v>
      </c>
      <c r="U45" s="73">
        <f t="shared" si="25"/>
        <v>0</v>
      </c>
      <c r="V45" s="73">
        <f t="shared" si="25"/>
        <v>0</v>
      </c>
      <c r="W45" s="73">
        <f t="shared" si="25"/>
        <v>0</v>
      </c>
      <c r="X45" s="73">
        <f t="shared" si="25"/>
        <v>0</v>
      </c>
      <c r="Y45" s="73">
        <f t="shared" si="25"/>
        <v>0</v>
      </c>
      <c r="Z45" s="73">
        <f t="shared" si="25"/>
        <v>0</v>
      </c>
      <c r="AA45" s="73">
        <f t="shared" si="25"/>
        <v>0</v>
      </c>
      <c r="AB45" s="73">
        <f t="shared" si="25"/>
        <v>0</v>
      </c>
      <c r="AC45" s="73">
        <f t="shared" si="25"/>
        <v>0</v>
      </c>
      <c r="AD45" s="73">
        <f t="shared" si="25"/>
        <v>0</v>
      </c>
      <c r="AE45" s="73">
        <f t="shared" si="25"/>
        <v>0</v>
      </c>
      <c r="AF45" s="73">
        <f t="shared" si="25"/>
        <v>0</v>
      </c>
      <c r="AG45" s="73">
        <f t="shared" si="25"/>
        <v>29.372640845635431</v>
      </c>
    </row>
    <row r="46" spans="3:36" ht="25.5" x14ac:dyDescent="0.2">
      <c r="D46" s="36" t="s">
        <v>2195</v>
      </c>
      <c r="F46" s="73">
        <f>F15/J15+F16/J16+F17/J17+$F$53/($F$55/QperY)</f>
        <v>66.601784671056862</v>
      </c>
      <c r="G46" s="4" t="s">
        <v>580</v>
      </c>
    </row>
    <row r="47" spans="3:36" ht="25.5" x14ac:dyDescent="0.2">
      <c r="D47" s="36" t="s">
        <v>581</v>
      </c>
      <c r="F47" s="73">
        <f>F15+F16+F17+$F$53+$F$56+F27+F28</f>
        <v>643.79999999999995</v>
      </c>
      <c r="G47" s="4" t="s">
        <v>2243</v>
      </c>
    </row>
    <row r="52" spans="3:36" x14ac:dyDescent="0.2">
      <c r="C52" s="200" t="s">
        <v>8</v>
      </c>
      <c r="D52" s="203" t="s">
        <v>582</v>
      </c>
      <c r="E52" s="215"/>
      <c r="F52" s="215"/>
      <c r="G52" s="215"/>
      <c r="H52" s="215"/>
      <c r="I52" s="215"/>
      <c r="J52" s="215"/>
      <c r="K52" s="215"/>
      <c r="L52" s="215"/>
      <c r="M52" s="215"/>
      <c r="N52" s="215"/>
      <c r="O52" s="215"/>
      <c r="P52" s="215"/>
      <c r="Q52" s="215"/>
      <c r="R52" s="215"/>
      <c r="S52" s="215"/>
      <c r="T52" s="215"/>
      <c r="U52" s="215"/>
      <c r="V52" s="215"/>
      <c r="W52" s="215"/>
      <c r="X52" s="215"/>
      <c r="Y52" s="215"/>
      <c r="Z52" s="215"/>
      <c r="AA52" s="215"/>
      <c r="AB52" s="215"/>
      <c r="AC52" s="215"/>
      <c r="AD52" s="215"/>
      <c r="AE52" s="215"/>
      <c r="AF52" s="215"/>
      <c r="AG52" s="215"/>
      <c r="AH52" s="215"/>
      <c r="AI52" s="215"/>
      <c r="AJ52" s="215"/>
    </row>
    <row r="53" spans="3:36" x14ac:dyDescent="0.2">
      <c r="D53" s="4" t="s">
        <v>583</v>
      </c>
      <c r="F53" s="14">
        <f>'Filing Data'!$I$31</f>
        <v>161.19999999999999</v>
      </c>
      <c r="G53" s="4" t="s">
        <v>75</v>
      </c>
    </row>
    <row r="54" spans="3:36" x14ac:dyDescent="0.2">
      <c r="D54" s="36" t="s">
        <v>584</v>
      </c>
      <c r="F54" s="18">
        <f>'Filing Data'!$I$32</f>
        <v>6.6000000000000003E-2</v>
      </c>
      <c r="G54" s="4" t="s">
        <v>80</v>
      </c>
    </row>
    <row r="55" spans="3:36" x14ac:dyDescent="0.2">
      <c r="D55" s="4" t="s">
        <v>585</v>
      </c>
      <c r="F55" s="19">
        <f>'Filing Data'!$I$33</f>
        <v>20</v>
      </c>
      <c r="G55" s="4" t="s">
        <v>586</v>
      </c>
    </row>
    <row r="56" spans="3:36" x14ac:dyDescent="0.2">
      <c r="D56" s="4" t="s">
        <v>587</v>
      </c>
      <c r="F56" s="14">
        <f>'Filing Data'!$I$34</f>
        <v>120.5</v>
      </c>
      <c r="G56" s="4" t="s">
        <v>75</v>
      </c>
    </row>
    <row r="57" spans="3:36" x14ac:dyDescent="0.2">
      <c r="D57" s="4" t="s">
        <v>588</v>
      </c>
      <c r="F57" s="14">
        <f>'Filing Data'!$I$35</f>
        <v>3.1</v>
      </c>
      <c r="G57" s="4" t="s">
        <v>589</v>
      </c>
    </row>
    <row r="58" spans="3:36" x14ac:dyDescent="0.2">
      <c r="D58" s="4" t="s">
        <v>590</v>
      </c>
      <c r="F58" s="18">
        <f>'Filing Data'!$I$36</f>
        <v>0.5</v>
      </c>
      <c r="G58" s="4" t="s">
        <v>591</v>
      </c>
    </row>
    <row r="59" spans="3:36" x14ac:dyDescent="0.2">
      <c r="D59" s="4" t="s">
        <v>592</v>
      </c>
      <c r="F59" s="15">
        <f>'Filing Data'!$I$37</f>
        <v>2027.33</v>
      </c>
      <c r="G59" s="4" t="s">
        <v>544</v>
      </c>
    </row>
    <row r="60" spans="3:36" x14ac:dyDescent="0.2">
      <c r="D60" s="4" t="s">
        <v>593</v>
      </c>
      <c r="F60" s="15">
        <f>'Filing Data'!$I$38</f>
        <v>2027.5</v>
      </c>
      <c r="G60" s="4" t="s">
        <v>544</v>
      </c>
    </row>
    <row r="61" spans="3:36" x14ac:dyDescent="0.2">
      <c r="D61" s="4" t="s">
        <v>594</v>
      </c>
      <c r="F61" s="15">
        <f>'Filing Data'!$I$39</f>
        <v>2029.42</v>
      </c>
      <c r="G61" s="4" t="s">
        <v>2182</v>
      </c>
    </row>
    <row r="62" spans="3:36" x14ac:dyDescent="0.2">
      <c r="D62" s="4" t="s">
        <v>595</v>
      </c>
      <c r="F62" s="14">
        <f>'Filing Data'!$I$40</f>
        <v>1.25</v>
      </c>
      <c r="G62" s="4" t="s">
        <v>2183</v>
      </c>
    </row>
    <row r="63" spans="3:36" x14ac:dyDescent="0.2">
      <c r="D63" s="4" t="s">
        <v>596</v>
      </c>
      <c r="F63" s="14">
        <f>'Filing Data'!$I$41</f>
        <v>125</v>
      </c>
      <c r="G63" s="4" t="s">
        <v>525</v>
      </c>
    </row>
    <row r="64" spans="3:36" x14ac:dyDescent="0.2">
      <c r="D64" s="4" t="s">
        <v>597</v>
      </c>
      <c r="F64" s="14">
        <f>'Filing Data'!$I$42</f>
        <v>150</v>
      </c>
      <c r="G64" s="4" t="s">
        <v>525</v>
      </c>
    </row>
    <row r="65" spans="2:10" x14ac:dyDescent="0.2">
      <c r="D65" s="4" t="s">
        <v>951</v>
      </c>
      <c r="F65" s="14">
        <f>'Filing Data'!$I$43</f>
        <v>319.99299999999999</v>
      </c>
      <c r="G65" s="4" t="s">
        <v>1069</v>
      </c>
    </row>
    <row r="66" spans="2:10" x14ac:dyDescent="0.2">
      <c r="D66" s="4" t="s">
        <v>952</v>
      </c>
      <c r="F66" s="14">
        <f>'Filing Data'!$I$44</f>
        <v>451.2</v>
      </c>
      <c r="G66" s="4" t="s">
        <v>1069</v>
      </c>
    </row>
    <row r="67" spans="2:10" x14ac:dyDescent="0.2">
      <c r="D67" s="4" t="s">
        <v>953</v>
      </c>
      <c r="F67" s="14">
        <f>'Filing Data'!$I$45</f>
        <v>100.2</v>
      </c>
      <c r="G67" s="4" t="s">
        <v>1069</v>
      </c>
    </row>
    <row r="68" spans="2:10" x14ac:dyDescent="0.2">
      <c r="D68" s="4" t="s">
        <v>1030</v>
      </c>
      <c r="F68" s="14">
        <f>'Filing Data'!$I$46</f>
        <v>17.399999999999999</v>
      </c>
      <c r="G68" s="4" t="s">
        <v>1069</v>
      </c>
    </row>
    <row r="69" spans="2:10" ht="25.5" x14ac:dyDescent="0.2">
      <c r="D69" s="252" t="s">
        <v>598</v>
      </c>
      <c r="F69" s="240">
        <f>$F$55*($F$54/QperY)/(1-(1+$F$54/QperY)^-$F$55)-1</f>
        <v>0.18221241219376827</v>
      </c>
      <c r="G69" s="4" t="s">
        <v>599</v>
      </c>
    </row>
    <row r="70" spans="2:10" x14ac:dyDescent="0.2">
      <c r="D70" s="11" t="s">
        <v>954</v>
      </c>
      <c r="F70" s="170">
        <f>$F$65+$F$66+$F$67</f>
        <v>871.39300000000003</v>
      </c>
    </row>
    <row r="71" spans="2:10" x14ac:dyDescent="0.2">
      <c r="D71" s="11" t="s">
        <v>955</v>
      </c>
      <c r="F71" s="170">
        <f>F70+F68+'Filing Data'!$I$47</f>
        <v>895.39300000000003</v>
      </c>
    </row>
    <row r="73" spans="2:10" x14ac:dyDescent="0.2">
      <c r="B73" s="5" t="s">
        <v>8</v>
      </c>
      <c r="C73" s="5" t="s">
        <v>8</v>
      </c>
      <c r="D73" s="72" t="s">
        <v>1031</v>
      </c>
      <c r="E73" s="167"/>
      <c r="F73" s="167"/>
      <c r="G73" s="167"/>
      <c r="H73" s="167"/>
      <c r="I73" s="167"/>
      <c r="J73" s="167"/>
    </row>
    <row r="74" spans="2:10" x14ac:dyDescent="0.2">
      <c r="F74" s="11" t="s">
        <v>956</v>
      </c>
      <c r="G74" s="11" t="s">
        <v>957</v>
      </c>
      <c r="H74" s="11" t="s">
        <v>958</v>
      </c>
    </row>
    <row r="75" spans="2:10" x14ac:dyDescent="0.2">
      <c r="D75" s="4" t="s">
        <v>959</v>
      </c>
      <c r="F75" s="73">
        <f>SUM(M34:Q34)-SUM(M39:Q39)-SUM(M40:Q40)</f>
        <v>414.76236065859581</v>
      </c>
      <c r="G75" s="14">
        <f>'Filing Data'!$I$50</f>
        <v>447.5</v>
      </c>
      <c r="H75" s="75">
        <f>F75/G75</f>
        <v>0.92684326404155493</v>
      </c>
      <c r="I75" s="4" t="s">
        <v>1070</v>
      </c>
    </row>
    <row r="76" spans="2:10" x14ac:dyDescent="0.2">
      <c r="D76" s="4" t="s">
        <v>960</v>
      </c>
      <c r="F76" s="73">
        <f>M34-M39-M40+(N34-N39-N40)*(QperY-1)/QperY</f>
        <v>73.682400632654918</v>
      </c>
      <c r="G76" s="14">
        <f>'Filing Data'!$I$51</f>
        <v>69.8</v>
      </c>
      <c r="H76" s="75">
        <f>F76/G76</f>
        <v>1.055621785568122</v>
      </c>
      <c r="I76" s="4" t="s">
        <v>1071</v>
      </c>
    </row>
  </sheetData>
  <pageMargins left="0.75" right="0.75" top="1" bottom="1" header="0.5" footer="0.5"/>
  <pageSetup scale="26" fitToHeight="0" orientation="landscape"/>
  <headerFooter>
    <oddFooter>&amp;C&amp;A, 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A6A6A6"/>
    <pageSetUpPr fitToPage="1"/>
  </sheetPr>
  <dimension ref="A1:K125"/>
  <sheetViews>
    <sheetView showGridLines="0" zoomScale="85" workbookViewId="0">
      <pane xSplit="4" ySplit="6" topLeftCell="E7" activePane="bottomRight" state="frozenSplit"/>
      <selection pane="topRight" activeCell="E1" sqref="E1"/>
      <selection pane="bottomLeft" activeCell="A7" sqref="A7"/>
      <selection pane="bottomRight"/>
    </sheetView>
  </sheetViews>
  <sheetFormatPr defaultRowHeight="12.75" x14ac:dyDescent="0.2"/>
  <cols>
    <col min="1" max="1" width="1.7109375" style="10" customWidth="1"/>
    <col min="2" max="3" width="2.28515625" style="10" customWidth="1"/>
    <col min="4" max="4" width="62.7109375" style="23" customWidth="1"/>
    <col min="5" max="5" width="5" style="23" customWidth="1"/>
    <col min="6" max="8" width="2" style="23" customWidth="1"/>
    <col min="9" max="9" width="12.140625" style="23" customWidth="1"/>
    <col min="10" max="10" width="24.7109375" style="23" customWidth="1"/>
    <col min="11" max="11" width="80.7109375" style="23" customWidth="1"/>
    <col min="12" max="12" width="2" style="10" customWidth="1"/>
    <col min="13" max="16384" width="9.140625" style="10"/>
  </cols>
  <sheetData>
    <row r="1" spans="1:11" ht="12.75" customHeight="1" x14ac:dyDescent="0.25">
      <c r="A1" s="218" t="s">
        <v>2148</v>
      </c>
    </row>
    <row r="2" spans="1:11" ht="12.75" customHeight="1" x14ac:dyDescent="0.2">
      <c r="A2" s="219" t="s">
        <v>28</v>
      </c>
    </row>
    <row r="3" spans="1:11" ht="12.75" customHeight="1" x14ac:dyDescent="0.2">
      <c r="A3" s="220" t="s">
        <v>313</v>
      </c>
    </row>
    <row r="4" spans="1:11" ht="12.75" customHeight="1" x14ac:dyDescent="0.2">
      <c r="A4" s="214"/>
      <c r="B4" s="214"/>
      <c r="C4" s="214"/>
      <c r="D4" s="303"/>
      <c r="E4" s="303"/>
      <c r="F4" s="303"/>
      <c r="G4" s="303"/>
      <c r="H4" s="303"/>
      <c r="I4" s="303"/>
      <c r="J4" s="303"/>
      <c r="K4" s="303"/>
    </row>
    <row r="6" spans="1:11" x14ac:dyDescent="0.2">
      <c r="D6" s="306" t="s">
        <v>38</v>
      </c>
      <c r="E6" s="306" t="s">
        <v>39</v>
      </c>
      <c r="I6" s="306" t="s">
        <v>314</v>
      </c>
      <c r="J6" s="306" t="s">
        <v>40</v>
      </c>
      <c r="K6" s="306" t="s">
        <v>315</v>
      </c>
    </row>
    <row r="8" spans="1:11" x14ac:dyDescent="0.2">
      <c r="C8" s="200" t="s">
        <v>8</v>
      </c>
      <c r="D8" s="315" t="s">
        <v>316</v>
      </c>
      <c r="E8" s="316"/>
      <c r="F8" s="316"/>
      <c r="G8" s="316"/>
      <c r="H8" s="316"/>
      <c r="I8" s="316"/>
      <c r="J8" s="316"/>
      <c r="K8" s="316"/>
    </row>
    <row r="9" spans="1:11" x14ac:dyDescent="0.2">
      <c r="D9" s="31" t="s">
        <v>317</v>
      </c>
      <c r="E9" s="53" t="s">
        <v>318</v>
      </c>
      <c r="I9" s="16">
        <f>'Filing Data'!$I$56</f>
        <v>2157.3980000000001</v>
      </c>
      <c r="J9" s="31" t="s">
        <v>319</v>
      </c>
      <c r="K9" s="31" t="s">
        <v>320</v>
      </c>
    </row>
    <row r="10" spans="1:11" x14ac:dyDescent="0.2">
      <c r="D10" s="31" t="s">
        <v>321</v>
      </c>
      <c r="E10" s="53" t="s">
        <v>318</v>
      </c>
      <c r="I10" s="16">
        <f>'Filing Data'!$I$57</f>
        <v>30.643000000000001</v>
      </c>
      <c r="J10" s="31" t="s">
        <v>319</v>
      </c>
      <c r="K10" s="31" t="s">
        <v>322</v>
      </c>
    </row>
    <row r="11" spans="1:11" x14ac:dyDescent="0.2">
      <c r="D11" s="31" t="s">
        <v>323</v>
      </c>
      <c r="E11" s="53" t="s">
        <v>318</v>
      </c>
      <c r="I11" s="16">
        <f>'Filing Data'!$I$58</f>
        <v>12908.323</v>
      </c>
      <c r="J11" s="31" t="s">
        <v>324</v>
      </c>
      <c r="K11" s="31"/>
    </row>
    <row r="12" spans="1:11" x14ac:dyDescent="0.2">
      <c r="D12" s="31" t="s">
        <v>325</v>
      </c>
      <c r="E12" s="53" t="s">
        <v>318</v>
      </c>
      <c r="I12" s="16">
        <f>'Filing Data'!$I$59</f>
        <v>933.69799999999998</v>
      </c>
      <c r="J12" s="31" t="s">
        <v>324</v>
      </c>
      <c r="K12" s="31"/>
    </row>
    <row r="13" spans="1:11" x14ac:dyDescent="0.2">
      <c r="D13" s="31" t="s">
        <v>326</v>
      </c>
      <c r="E13" s="53" t="s">
        <v>318</v>
      </c>
      <c r="I13" s="16">
        <f>'Filing Data'!$I$60</f>
        <v>2846.6970000000001</v>
      </c>
      <c r="J13" s="31" t="s">
        <v>324</v>
      </c>
      <c r="K13" s="31"/>
    </row>
    <row r="14" spans="1:11" x14ac:dyDescent="0.2">
      <c r="D14" s="31" t="s">
        <v>327</v>
      </c>
      <c r="E14" s="53" t="s">
        <v>318</v>
      </c>
      <c r="I14" s="16">
        <f>'Filing Data'!$I$61</f>
        <v>569.05899999999997</v>
      </c>
      <c r="J14" s="31" t="s">
        <v>324</v>
      </c>
      <c r="K14" s="31"/>
    </row>
    <row r="15" spans="1:11" ht="25.5" x14ac:dyDescent="0.2">
      <c r="D15" s="31" t="s">
        <v>328</v>
      </c>
      <c r="E15" s="53" t="s">
        <v>318</v>
      </c>
      <c r="I15" s="183">
        <f>I11-I12-I13-I14</f>
        <v>8558.8690000000006</v>
      </c>
      <c r="J15" s="31" t="s">
        <v>329</v>
      </c>
      <c r="K15" s="36" t="s">
        <v>330</v>
      </c>
    </row>
    <row r="16" spans="1:11" ht="25.5" x14ac:dyDescent="0.2">
      <c r="D16" s="31" t="s">
        <v>331</v>
      </c>
      <c r="E16" s="53" t="s">
        <v>318</v>
      </c>
      <c r="I16" s="16">
        <f>'Filing Data'!$I$62</f>
        <v>1840.444962</v>
      </c>
      <c r="J16" s="31" t="s">
        <v>332</v>
      </c>
      <c r="K16" s="36" t="s">
        <v>333</v>
      </c>
    </row>
    <row r="17" spans="3:11" x14ac:dyDescent="0.2">
      <c r="D17" s="164" t="s">
        <v>334</v>
      </c>
      <c r="E17" s="53" t="s">
        <v>318</v>
      </c>
      <c r="I17" s="317">
        <f>I9+I10+I11+I16</f>
        <v>16936.808962000003</v>
      </c>
      <c r="J17" s="31" t="s">
        <v>34</v>
      </c>
      <c r="K17" s="31"/>
    </row>
    <row r="18" spans="3:11" ht="25.5" x14ac:dyDescent="0.2">
      <c r="D18" s="31" t="s">
        <v>335</v>
      </c>
      <c r="E18" s="53" t="s">
        <v>318</v>
      </c>
      <c r="I18" s="16">
        <f>'Filing Data'!$I$63</f>
        <v>846.84096</v>
      </c>
      <c r="J18" s="31" t="s">
        <v>336</v>
      </c>
      <c r="K18" s="36" t="s">
        <v>337</v>
      </c>
    </row>
    <row r="19" spans="3:11" x14ac:dyDescent="0.2">
      <c r="D19" s="31" t="s">
        <v>338</v>
      </c>
      <c r="E19" s="53" t="s">
        <v>54</v>
      </c>
      <c r="I19" s="22">
        <f>'Filing Data'!$I$64</f>
        <v>0.05</v>
      </c>
      <c r="J19" s="31" t="s">
        <v>339</v>
      </c>
      <c r="K19" s="31"/>
    </row>
    <row r="20" spans="3:11" x14ac:dyDescent="0.2">
      <c r="D20" s="164" t="s">
        <v>340</v>
      </c>
      <c r="E20" s="53" t="s">
        <v>318</v>
      </c>
      <c r="I20" s="317">
        <f>I18/I19</f>
        <v>16936.819199999998</v>
      </c>
      <c r="J20" s="31" t="s">
        <v>34</v>
      </c>
      <c r="K20" s="31"/>
    </row>
    <row r="21" spans="3:11" ht="38.25" x14ac:dyDescent="0.2">
      <c r="D21" s="31" t="s">
        <v>341</v>
      </c>
      <c r="E21" s="53" t="s">
        <v>318</v>
      </c>
      <c r="I21" s="183">
        <f>I17-I20</f>
        <v>-1.0237999995297287E-2</v>
      </c>
      <c r="J21" s="31" t="s">
        <v>34</v>
      </c>
      <c r="K21" s="36" t="s">
        <v>342</v>
      </c>
    </row>
    <row r="22" spans="3:11" x14ac:dyDescent="0.2">
      <c r="D22" s="31" t="s">
        <v>343</v>
      </c>
      <c r="E22" s="53" t="s">
        <v>318</v>
      </c>
      <c r="I22" s="16">
        <f>'Filing Data'!$I$65</f>
        <v>1797.066</v>
      </c>
      <c r="J22" s="31" t="s">
        <v>105</v>
      </c>
      <c r="K22" s="31" t="s">
        <v>344</v>
      </c>
    </row>
    <row r="23" spans="3:11" x14ac:dyDescent="0.2">
      <c r="D23" s="31" t="s">
        <v>345</v>
      </c>
      <c r="E23" s="53" t="s">
        <v>114</v>
      </c>
      <c r="I23" s="301">
        <f>'Filing Data'!$I$66</f>
        <v>2.89</v>
      </c>
      <c r="J23" s="31" t="s">
        <v>105</v>
      </c>
      <c r="K23" s="31"/>
    </row>
    <row r="24" spans="3:11" x14ac:dyDescent="0.2">
      <c r="D24" s="31" t="s">
        <v>346</v>
      </c>
      <c r="E24" s="53" t="s">
        <v>318</v>
      </c>
      <c r="I24" s="16">
        <f>'Filing Data'!$I$67</f>
        <v>1049.6310000000001</v>
      </c>
      <c r="J24" s="31" t="s">
        <v>347</v>
      </c>
      <c r="K24" s="36" t="s">
        <v>2262</v>
      </c>
    </row>
    <row r="25" spans="3:11" x14ac:dyDescent="0.2">
      <c r="D25" s="31" t="s">
        <v>348</v>
      </c>
      <c r="E25" s="53" t="s">
        <v>318</v>
      </c>
      <c r="I25" s="183">
        <f>I22+I24-I13</f>
        <v>0</v>
      </c>
      <c r="J25" s="31" t="s">
        <v>34</v>
      </c>
      <c r="K25" s="31" t="s">
        <v>349</v>
      </c>
    </row>
    <row r="27" spans="3:11" x14ac:dyDescent="0.2">
      <c r="C27" s="200" t="s">
        <v>8</v>
      </c>
      <c r="D27" s="315" t="s">
        <v>350</v>
      </c>
      <c r="E27" s="316"/>
      <c r="F27" s="316"/>
      <c r="G27" s="316"/>
      <c r="H27" s="316"/>
      <c r="I27" s="316"/>
      <c r="J27" s="316"/>
      <c r="K27" s="316"/>
    </row>
    <row r="28" spans="3:11" x14ac:dyDescent="0.2">
      <c r="D28" s="31" t="s">
        <v>351</v>
      </c>
      <c r="E28" s="53" t="s">
        <v>114</v>
      </c>
      <c r="I28" s="3">
        <f>Inputs!$K$256*MperB/I20</f>
        <v>88.564445442034369</v>
      </c>
      <c r="J28" s="31" t="s">
        <v>34</v>
      </c>
      <c r="K28" s="31" t="s">
        <v>2196</v>
      </c>
    </row>
    <row r="29" spans="3:11" x14ac:dyDescent="0.2">
      <c r="D29" s="31" t="s">
        <v>352</v>
      </c>
      <c r="E29" s="53" t="s">
        <v>114</v>
      </c>
      <c r="I29" s="3">
        <f>Inputs!$K$257*MperB/I20</f>
        <v>118.08592725604582</v>
      </c>
      <c r="J29" s="31" t="s">
        <v>34</v>
      </c>
      <c r="K29" s="31" t="s">
        <v>353</v>
      </c>
    </row>
    <row r="30" spans="3:11" x14ac:dyDescent="0.2">
      <c r="D30" s="31" t="s">
        <v>354</v>
      </c>
      <c r="E30" s="53" t="s">
        <v>114</v>
      </c>
      <c r="I30" s="301">
        <f>'Filing Data'!$I$68</f>
        <v>589.0095</v>
      </c>
      <c r="J30" s="31" t="s">
        <v>355</v>
      </c>
      <c r="K30" s="31"/>
    </row>
    <row r="31" spans="3:11" x14ac:dyDescent="0.2">
      <c r="D31" s="31" t="s">
        <v>356</v>
      </c>
      <c r="E31" s="53" t="s">
        <v>47</v>
      </c>
      <c r="I31" s="300">
        <f>'Filing Data'!$I$69</f>
        <v>10</v>
      </c>
      <c r="J31" s="31" t="s">
        <v>357</v>
      </c>
      <c r="K31" s="31" t="s">
        <v>358</v>
      </c>
    </row>
    <row r="32" spans="3:11" x14ac:dyDescent="0.2">
      <c r="D32" s="31" t="s">
        <v>359</v>
      </c>
      <c r="E32" s="53" t="s">
        <v>114</v>
      </c>
      <c r="I32" s="3">
        <f>I30/I31</f>
        <v>58.900950000000002</v>
      </c>
      <c r="J32" s="31" t="s">
        <v>34</v>
      </c>
      <c r="K32" s="31" t="s">
        <v>360</v>
      </c>
    </row>
    <row r="33" spans="3:11" x14ac:dyDescent="0.2">
      <c r="D33" s="31" t="s">
        <v>361</v>
      </c>
      <c r="E33" s="53" t="s">
        <v>51</v>
      </c>
      <c r="I33" s="183">
        <f>I32*I20/MperB</f>
        <v>997.5947408582399</v>
      </c>
      <c r="J33" s="31" t="s">
        <v>34</v>
      </c>
      <c r="K33" s="31" t="s">
        <v>362</v>
      </c>
    </row>
    <row r="35" spans="3:11" x14ac:dyDescent="0.2">
      <c r="C35" s="200" t="s">
        <v>8</v>
      </c>
      <c r="D35" s="315" t="s">
        <v>363</v>
      </c>
      <c r="E35" s="316"/>
      <c r="F35" s="316"/>
      <c r="G35" s="316"/>
      <c r="H35" s="316"/>
      <c r="I35" s="316"/>
      <c r="J35" s="316"/>
      <c r="K35" s="316"/>
    </row>
    <row r="36" spans="3:11" x14ac:dyDescent="0.2">
      <c r="D36" s="31" t="s">
        <v>1890</v>
      </c>
      <c r="E36" s="53" t="s">
        <v>318</v>
      </c>
      <c r="I36" s="183">
        <f>I120+I10</f>
        <v>2199.431</v>
      </c>
      <c r="J36" s="31" t="s">
        <v>1880</v>
      </c>
      <c r="K36" s="31"/>
    </row>
    <row r="37" spans="3:11" x14ac:dyDescent="0.2">
      <c r="D37" s="31" t="s">
        <v>364</v>
      </c>
      <c r="E37" s="53" t="s">
        <v>318</v>
      </c>
      <c r="I37" s="183">
        <f>I15</f>
        <v>8558.8690000000006</v>
      </c>
      <c r="J37" s="31" t="s">
        <v>324</v>
      </c>
      <c r="K37" s="31"/>
    </row>
    <row r="38" spans="3:11" ht="25.5" x14ac:dyDescent="0.2">
      <c r="D38" s="31" t="s">
        <v>365</v>
      </c>
      <c r="E38" s="53" t="s">
        <v>318</v>
      </c>
      <c r="I38" s="183">
        <f>I16</f>
        <v>1840.444962</v>
      </c>
      <c r="J38" s="31" t="s">
        <v>332</v>
      </c>
      <c r="K38" s="36" t="s">
        <v>366</v>
      </c>
    </row>
    <row r="39" spans="3:11" x14ac:dyDescent="0.2">
      <c r="D39" s="31" t="s">
        <v>1891</v>
      </c>
      <c r="E39" s="53" t="s">
        <v>318</v>
      </c>
      <c r="I39" s="183">
        <f>I121+I24</f>
        <v>2823.9740000000002</v>
      </c>
      <c r="J39" s="31" t="s">
        <v>1892</v>
      </c>
      <c r="K39" s="31" t="s">
        <v>367</v>
      </c>
    </row>
    <row r="40" spans="3:11" ht="25.5" x14ac:dyDescent="0.2">
      <c r="D40" s="31" t="s">
        <v>368</v>
      </c>
      <c r="E40" s="53" t="s">
        <v>318</v>
      </c>
      <c r="I40" s="16">
        <f>'Filing Data'!$I$70</f>
        <v>125.36299999999983</v>
      </c>
      <c r="J40" s="31" t="s">
        <v>369</v>
      </c>
      <c r="K40" s="36" t="s">
        <v>370</v>
      </c>
    </row>
    <row r="41" spans="3:11" x14ac:dyDescent="0.2">
      <c r="D41" s="31" t="s">
        <v>371</v>
      </c>
      <c r="E41" s="53" t="s">
        <v>318</v>
      </c>
      <c r="I41" s="16">
        <f>'Filing Data'!$I$71</f>
        <v>28</v>
      </c>
      <c r="J41" s="31" t="s">
        <v>145</v>
      </c>
      <c r="K41" s="31" t="s">
        <v>372</v>
      </c>
    </row>
    <row r="42" spans="3:11" ht="25.5" x14ac:dyDescent="0.2">
      <c r="D42" s="31" t="s">
        <v>373</v>
      </c>
      <c r="E42" s="53" t="s">
        <v>318</v>
      </c>
      <c r="I42" s="183">
        <f>Inputs!$K$239*(I12-I41)</f>
        <v>452.84899999999999</v>
      </c>
      <c r="J42" s="31" t="s">
        <v>374</v>
      </c>
      <c r="K42" s="36" t="s">
        <v>375</v>
      </c>
    </row>
    <row r="43" spans="3:11" ht="25.5" x14ac:dyDescent="0.2">
      <c r="D43" s="31" t="s">
        <v>376</v>
      </c>
      <c r="E43" s="53" t="s">
        <v>318</v>
      </c>
      <c r="I43" s="183">
        <f>I18</f>
        <v>846.84096</v>
      </c>
      <c r="J43" s="31" t="s">
        <v>339</v>
      </c>
      <c r="K43" s="36" t="s">
        <v>377</v>
      </c>
    </row>
    <row r="44" spans="3:11" ht="25.5" x14ac:dyDescent="0.2">
      <c r="D44" s="31" t="s">
        <v>378</v>
      </c>
      <c r="E44" s="53" t="s">
        <v>113</v>
      </c>
      <c r="I44" s="21">
        <f>'Filing Data'!$I$72</f>
        <v>0</v>
      </c>
      <c r="J44" s="31" t="s">
        <v>36</v>
      </c>
      <c r="K44" s="36" t="s">
        <v>379</v>
      </c>
    </row>
    <row r="45" spans="3:11" x14ac:dyDescent="0.2">
      <c r="D45" s="31" t="s">
        <v>380</v>
      </c>
      <c r="E45" s="53" t="s">
        <v>51</v>
      </c>
      <c r="I45" s="16">
        <f>'Filing Data'!$I$73</f>
        <v>5</v>
      </c>
      <c r="J45" s="31" t="s">
        <v>381</v>
      </c>
      <c r="K45" s="31"/>
    </row>
    <row r="46" spans="3:11" x14ac:dyDescent="0.2">
      <c r="D46" s="31" t="s">
        <v>382</v>
      </c>
      <c r="E46" s="53" t="s">
        <v>114</v>
      </c>
      <c r="I46" s="3">
        <f>I28</f>
        <v>88.564445442034369</v>
      </c>
      <c r="J46" s="31" t="s">
        <v>34</v>
      </c>
      <c r="K46" s="31" t="s">
        <v>383</v>
      </c>
    </row>
    <row r="47" spans="3:11" x14ac:dyDescent="0.2">
      <c r="D47" s="31" t="s">
        <v>384</v>
      </c>
      <c r="E47" s="53" t="s">
        <v>318</v>
      </c>
      <c r="I47" s="183">
        <f>(I44*I45+Inputs!$K$233)*MperB/I46</f>
        <v>0</v>
      </c>
      <c r="J47" s="31" t="s">
        <v>34</v>
      </c>
      <c r="K47" s="31"/>
    </row>
    <row r="48" spans="3:11" x14ac:dyDescent="0.2">
      <c r="D48" s="164" t="s">
        <v>385</v>
      </c>
      <c r="E48" s="53" t="s">
        <v>318</v>
      </c>
      <c r="I48" s="317">
        <f>I36+I37+I38+I39+I40+I41+I42+I43+I47</f>
        <v>16875.771922</v>
      </c>
      <c r="J48" s="31" t="s">
        <v>34</v>
      </c>
      <c r="K48" s="31"/>
    </row>
    <row r="49" spans="3:11" ht="25.5" x14ac:dyDescent="0.2">
      <c r="D49" s="31" t="s">
        <v>386</v>
      </c>
      <c r="E49" s="53" t="s">
        <v>54</v>
      </c>
      <c r="I49" s="22">
        <f>'Filing Data'!$I$74</f>
        <v>0.02</v>
      </c>
      <c r="J49" s="31" t="s">
        <v>339</v>
      </c>
      <c r="K49" s="36" t="s">
        <v>387</v>
      </c>
    </row>
    <row r="50" spans="3:11" x14ac:dyDescent="0.2">
      <c r="D50" s="164" t="s">
        <v>388</v>
      </c>
      <c r="E50" s="53" t="s">
        <v>318</v>
      </c>
      <c r="I50" s="317">
        <f>I48*(1+I49)^Inputs!$K$238</f>
        <v>17213.287360440001</v>
      </c>
      <c r="J50" s="31" t="s">
        <v>34</v>
      </c>
      <c r="K50" s="31" t="s">
        <v>1974</v>
      </c>
    </row>
    <row r="51" spans="3:11" x14ac:dyDescent="0.2">
      <c r="D51" s="31" t="s">
        <v>389</v>
      </c>
      <c r="E51" s="53" t="s">
        <v>318</v>
      </c>
      <c r="I51" s="183">
        <f>-I14</f>
        <v>-569.05899999999997</v>
      </c>
      <c r="J51" s="31" t="s">
        <v>324</v>
      </c>
      <c r="K51" s="31" t="s">
        <v>390</v>
      </c>
    </row>
    <row r="52" spans="3:11" x14ac:dyDescent="0.2">
      <c r="D52" s="31" t="s">
        <v>391</v>
      </c>
      <c r="E52" s="53" t="s">
        <v>318</v>
      </c>
      <c r="I52" s="183">
        <f>-(I12-I41)*(1-Inputs!$K$239)</f>
        <v>-452.84899999999999</v>
      </c>
      <c r="J52" s="31" t="s">
        <v>34</v>
      </c>
      <c r="K52" s="31"/>
    </row>
    <row r="53" spans="3:11" x14ac:dyDescent="0.2">
      <c r="D53" s="31" t="s">
        <v>1909</v>
      </c>
      <c r="E53" s="53" t="s">
        <v>318</v>
      </c>
      <c r="I53" s="183">
        <f>I17+I51+I52+I40+I43+I47+I125-I48</f>
        <v>0</v>
      </c>
      <c r="J53" s="31" t="s">
        <v>34</v>
      </c>
      <c r="K53" s="31" t="s">
        <v>392</v>
      </c>
    </row>
    <row r="54" spans="3:11" x14ac:dyDescent="0.2">
      <c r="D54" s="31" t="s">
        <v>393</v>
      </c>
      <c r="E54" s="53" t="s">
        <v>318</v>
      </c>
      <c r="I54" s="183">
        <f>(I20+I24+I40+I41)*(1+I49)</f>
        <v>18502.609464000001</v>
      </c>
      <c r="J54" s="31" t="s">
        <v>34</v>
      </c>
      <c r="K54" s="36" t="s">
        <v>394</v>
      </c>
    </row>
    <row r="56" spans="3:11" x14ac:dyDescent="0.2">
      <c r="C56" s="200" t="s">
        <v>8</v>
      </c>
      <c r="D56" s="315" t="s">
        <v>395</v>
      </c>
      <c r="E56" s="316"/>
      <c r="F56" s="316"/>
      <c r="G56" s="316"/>
      <c r="H56" s="316"/>
      <c r="I56" s="316"/>
      <c r="J56" s="316"/>
      <c r="K56" s="316"/>
    </row>
    <row r="57" spans="3:11" ht="25.5" x14ac:dyDescent="0.2">
      <c r="D57" s="31" t="s">
        <v>396</v>
      </c>
      <c r="E57" s="53" t="s">
        <v>51</v>
      </c>
      <c r="I57" s="183">
        <f>I121*I122/MperB</f>
        <v>5.1633381300000005</v>
      </c>
      <c r="J57" s="31" t="s">
        <v>34</v>
      </c>
      <c r="K57" s="36" t="s">
        <v>397</v>
      </c>
    </row>
    <row r="58" spans="3:11" x14ac:dyDescent="0.2">
      <c r="D58" s="31" t="s">
        <v>398</v>
      </c>
      <c r="E58" s="53" t="s">
        <v>51</v>
      </c>
      <c r="I58" s="16">
        <f>'Filing Data'!$I$75</f>
        <v>42</v>
      </c>
      <c r="J58" s="31" t="s">
        <v>399</v>
      </c>
      <c r="K58" s="31"/>
    </row>
    <row r="59" spans="3:11" ht="38.25" x14ac:dyDescent="0.2">
      <c r="D59" s="31" t="s">
        <v>400</v>
      </c>
      <c r="E59" s="53" t="s">
        <v>54</v>
      </c>
      <c r="I59" s="22">
        <f>'Filing Data'!$I$76</f>
        <v>0</v>
      </c>
      <c r="J59" s="31" t="s">
        <v>36</v>
      </c>
      <c r="K59" s="36" t="s">
        <v>401</v>
      </c>
    </row>
    <row r="60" spans="3:11" x14ac:dyDescent="0.2">
      <c r="D60" s="31" t="s">
        <v>402</v>
      </c>
      <c r="E60" s="53" t="s">
        <v>54</v>
      </c>
      <c r="I60" s="22">
        <f>'Filing Data'!$I$77</f>
        <v>0.09</v>
      </c>
      <c r="J60" s="31" t="s">
        <v>403</v>
      </c>
      <c r="K60" s="31"/>
    </row>
    <row r="61" spans="3:11" x14ac:dyDescent="0.2">
      <c r="D61" s="31" t="s">
        <v>404</v>
      </c>
      <c r="E61" s="53" t="s">
        <v>54</v>
      </c>
      <c r="I61" s="22">
        <f>'Filing Data'!$I$78</f>
        <v>0.9</v>
      </c>
      <c r="J61" s="31" t="s">
        <v>403</v>
      </c>
      <c r="K61" s="31"/>
    </row>
    <row r="62" spans="3:11" x14ac:dyDescent="0.2">
      <c r="D62" s="31" t="s">
        <v>405</v>
      </c>
      <c r="E62" s="53" t="s">
        <v>59</v>
      </c>
      <c r="I62" s="301">
        <f>'Filing Data'!$I$79</f>
        <v>2</v>
      </c>
      <c r="J62" s="31" t="s">
        <v>35</v>
      </c>
      <c r="K62" s="31"/>
    </row>
    <row r="63" spans="3:11" ht="25.5" x14ac:dyDescent="0.2">
      <c r="D63" s="31" t="s">
        <v>406</v>
      </c>
      <c r="E63" s="53" t="s">
        <v>51</v>
      </c>
      <c r="I63" s="183">
        <f>I58*I59*((1+I60)^I62/I61-1)</f>
        <v>0</v>
      </c>
      <c r="J63" s="31" t="s">
        <v>34</v>
      </c>
      <c r="K63" s="36" t="s">
        <v>407</v>
      </c>
    </row>
    <row r="64" spans="3:11" ht="25.5" x14ac:dyDescent="0.2">
      <c r="D64" s="31" t="s">
        <v>408</v>
      </c>
      <c r="E64" s="53" t="s">
        <v>54</v>
      </c>
      <c r="I64" s="22">
        <f>'Filing Data'!$I$80</f>
        <v>0.13</v>
      </c>
      <c r="J64" s="31" t="s">
        <v>35</v>
      </c>
      <c r="K64" s="36" t="s">
        <v>409</v>
      </c>
    </row>
    <row r="65" spans="3:11" x14ac:dyDescent="0.2">
      <c r="D65" s="31" t="s">
        <v>410</v>
      </c>
      <c r="E65" s="53" t="s">
        <v>54</v>
      </c>
      <c r="I65" s="22">
        <f>'Filing Data'!$I$81</f>
        <v>0.85</v>
      </c>
      <c r="J65" s="31" t="s">
        <v>35</v>
      </c>
      <c r="K65" s="31" t="s">
        <v>411</v>
      </c>
    </row>
    <row r="66" spans="3:11" x14ac:dyDescent="0.2">
      <c r="D66" s="31" t="s">
        <v>412</v>
      </c>
      <c r="E66" s="53" t="s">
        <v>54</v>
      </c>
      <c r="I66" s="22">
        <f>'Filing Data'!$I$82</f>
        <v>0.13</v>
      </c>
      <c r="J66" s="31" t="s">
        <v>403</v>
      </c>
      <c r="K66" s="31"/>
    </row>
    <row r="67" spans="3:11" x14ac:dyDescent="0.2">
      <c r="D67" s="31" t="s">
        <v>413</v>
      </c>
      <c r="E67" s="53" t="s">
        <v>54</v>
      </c>
      <c r="I67" s="22">
        <f>'Filing Data'!$I$83</f>
        <v>0.85</v>
      </c>
      <c r="J67" s="31" t="s">
        <v>403</v>
      </c>
      <c r="K67" s="31"/>
    </row>
    <row r="68" spans="3:11" x14ac:dyDescent="0.2">
      <c r="D68" s="31" t="s">
        <v>414</v>
      </c>
      <c r="E68" s="53" t="s">
        <v>51</v>
      </c>
      <c r="I68" s="183">
        <f>I58*((1+I66)^I62/I67-1)</f>
        <v>21.093882352941161</v>
      </c>
      <c r="J68" s="31" t="s">
        <v>34</v>
      </c>
      <c r="K68" s="31" t="s">
        <v>415</v>
      </c>
    </row>
    <row r="70" spans="3:11" x14ac:dyDescent="0.2">
      <c r="C70" s="200" t="s">
        <v>8</v>
      </c>
      <c r="D70" s="315" t="s">
        <v>416</v>
      </c>
      <c r="E70" s="316"/>
      <c r="F70" s="316"/>
      <c r="G70" s="316"/>
      <c r="H70" s="316"/>
      <c r="I70" s="316"/>
      <c r="J70" s="316"/>
      <c r="K70" s="316"/>
    </row>
    <row r="71" spans="3:11" x14ac:dyDescent="0.2">
      <c r="D71" s="31" t="s">
        <v>417</v>
      </c>
      <c r="E71" s="53" t="s">
        <v>51</v>
      </c>
      <c r="I71" s="183">
        <f>Historicals!G68/MperB</f>
        <v>6.2030000000000003</v>
      </c>
      <c r="J71" s="31" t="s">
        <v>332</v>
      </c>
      <c r="K71" s="31"/>
    </row>
    <row r="72" spans="3:11" x14ac:dyDescent="0.2">
      <c r="D72" s="31" t="s">
        <v>418</v>
      </c>
      <c r="E72" s="53" t="s">
        <v>51</v>
      </c>
      <c r="I72" s="16">
        <f>'Filing Data'!$I$84</f>
        <v>2.1859999999999999</v>
      </c>
      <c r="J72" s="31" t="s">
        <v>332</v>
      </c>
      <c r="K72" s="31" t="s">
        <v>419</v>
      </c>
    </row>
    <row r="73" spans="3:11" x14ac:dyDescent="0.2">
      <c r="D73" s="31" t="s">
        <v>420</v>
      </c>
      <c r="E73" s="53" t="s">
        <v>59</v>
      </c>
      <c r="I73" s="301">
        <f>'Filing Data'!$I$85</f>
        <v>2034.2</v>
      </c>
      <c r="J73" s="31" t="s">
        <v>332</v>
      </c>
      <c r="K73" s="31" t="s">
        <v>421</v>
      </c>
    </row>
    <row r="74" spans="3:11" x14ac:dyDescent="0.2">
      <c r="D74" s="31" t="s">
        <v>422</v>
      </c>
      <c r="E74" s="53" t="s">
        <v>51</v>
      </c>
      <c r="I74" s="16">
        <f>'Filing Data'!$I$86</f>
        <v>4.0170000000000003</v>
      </c>
      <c r="J74" s="31" t="s">
        <v>332</v>
      </c>
      <c r="K74" s="31" t="s">
        <v>423</v>
      </c>
    </row>
    <row r="75" spans="3:11" x14ac:dyDescent="0.2">
      <c r="D75" s="31" t="s">
        <v>424</v>
      </c>
      <c r="E75" s="53" t="s">
        <v>59</v>
      </c>
      <c r="I75" s="301">
        <f>'Filing Data'!$I$87</f>
        <v>2035.4</v>
      </c>
      <c r="J75" s="31" t="s">
        <v>332</v>
      </c>
      <c r="K75" s="31" t="s">
        <v>425</v>
      </c>
    </row>
    <row r="76" spans="3:11" x14ac:dyDescent="0.2">
      <c r="D76" s="31" t="s">
        <v>426</v>
      </c>
      <c r="E76" s="53" t="s">
        <v>54</v>
      </c>
      <c r="I76" s="22">
        <f>'Filing Data'!$I$88</f>
        <v>0.12</v>
      </c>
      <c r="J76" s="31" t="s">
        <v>332</v>
      </c>
      <c r="K76" s="31" t="s">
        <v>427</v>
      </c>
    </row>
    <row r="77" spans="3:11" ht="63.75" x14ac:dyDescent="0.2">
      <c r="D77" s="31" t="s">
        <v>428</v>
      </c>
      <c r="E77" s="53" t="s">
        <v>318</v>
      </c>
      <c r="I77" s="183">
        <f>I36+I37+I39+I40+I41+I43+I47</f>
        <v>14582.47796</v>
      </c>
      <c r="J77" s="31" t="s">
        <v>429</v>
      </c>
      <c r="K77" s="36" t="s">
        <v>430</v>
      </c>
    </row>
    <row r="78" spans="3:11" x14ac:dyDescent="0.2">
      <c r="D78" s="31" t="s">
        <v>431</v>
      </c>
      <c r="E78" s="53" t="s">
        <v>318</v>
      </c>
      <c r="I78" s="16">
        <f>'Filing Data'!$I$89</f>
        <v>1644</v>
      </c>
      <c r="J78" s="31" t="s">
        <v>35</v>
      </c>
      <c r="K78" s="31" t="s">
        <v>432</v>
      </c>
    </row>
    <row r="79" spans="3:11" x14ac:dyDescent="0.2">
      <c r="D79" s="31" t="s">
        <v>842</v>
      </c>
      <c r="E79" s="53" t="s">
        <v>54</v>
      </c>
      <c r="I79" s="22">
        <f>'Filing Data'!$I$90</f>
        <v>0.1</v>
      </c>
      <c r="J79" s="31" t="s">
        <v>35</v>
      </c>
      <c r="K79" s="31" t="s">
        <v>843</v>
      </c>
    </row>
    <row r="80" spans="3:11" x14ac:dyDescent="0.2">
      <c r="D80" s="31" t="s">
        <v>433</v>
      </c>
      <c r="E80" s="53" t="s">
        <v>318</v>
      </c>
      <c r="I80" s="183">
        <f>I78*(1-I79)</f>
        <v>1479.6000000000001</v>
      </c>
      <c r="J80" s="31" t="s">
        <v>34</v>
      </c>
      <c r="K80" s="31" t="s">
        <v>434</v>
      </c>
    </row>
    <row r="81" spans="4:11" x14ac:dyDescent="0.2">
      <c r="D81" s="31" t="s">
        <v>435</v>
      </c>
      <c r="E81" s="53" t="s">
        <v>318</v>
      </c>
      <c r="I81" s="183">
        <f>I78*(1+I79)</f>
        <v>1808.4</v>
      </c>
      <c r="J81" s="31" t="s">
        <v>34</v>
      </c>
      <c r="K81" s="31" t="s">
        <v>434</v>
      </c>
    </row>
    <row r="82" spans="4:11" x14ac:dyDescent="0.2">
      <c r="D82" s="31" t="s">
        <v>436</v>
      </c>
      <c r="E82" s="53" t="s">
        <v>318</v>
      </c>
      <c r="I82" s="183">
        <f>MIN(I16,MAX(0,(I76*I77-I78)/(1-I76)))</f>
        <v>120.33790363636363</v>
      </c>
      <c r="J82" s="31" t="s">
        <v>34</v>
      </c>
      <c r="K82" s="31" t="s">
        <v>437</v>
      </c>
    </row>
    <row r="83" spans="4:11" x14ac:dyDescent="0.2">
      <c r="D83" s="31" t="s">
        <v>438</v>
      </c>
      <c r="E83" s="53" t="s">
        <v>318</v>
      </c>
      <c r="I83" s="183">
        <f>MIN(I16,MAX(0,(I76*I77-I80)/(1-I76)))</f>
        <v>307.15608545454529</v>
      </c>
      <c r="J83" s="31" t="s">
        <v>34</v>
      </c>
      <c r="K83" s="31"/>
    </row>
    <row r="84" spans="4:11" x14ac:dyDescent="0.2">
      <c r="D84" s="31" t="s">
        <v>439</v>
      </c>
      <c r="E84" s="53" t="s">
        <v>318</v>
      </c>
      <c r="I84" s="183">
        <f>MIN(I16,MAX(0,(I76*I77-I81)/(1-I76)))</f>
        <v>0</v>
      </c>
      <c r="J84" s="31" t="s">
        <v>34</v>
      </c>
      <c r="K84" s="31"/>
    </row>
    <row r="85" spans="4:11" x14ac:dyDescent="0.2">
      <c r="D85" s="164" t="s">
        <v>440</v>
      </c>
      <c r="E85" s="53" t="s">
        <v>318</v>
      </c>
      <c r="I85" s="317">
        <f>I16-I82</f>
        <v>1720.1070583636365</v>
      </c>
      <c r="J85" s="31" t="s">
        <v>34</v>
      </c>
      <c r="K85" s="31" t="s">
        <v>441</v>
      </c>
    </row>
    <row r="86" spans="4:11" x14ac:dyDescent="0.2">
      <c r="D86" s="31" t="s">
        <v>442</v>
      </c>
      <c r="E86" s="53" t="s">
        <v>54</v>
      </c>
      <c r="I86" s="82">
        <f>I85/I16</f>
        <v>0.93461477733863174</v>
      </c>
      <c r="J86" s="31" t="s">
        <v>34</v>
      </c>
      <c r="K86" s="31"/>
    </row>
    <row r="87" spans="4:11" x14ac:dyDescent="0.2">
      <c r="D87" s="31" t="s">
        <v>443</v>
      </c>
      <c r="E87" s="53" t="s">
        <v>54</v>
      </c>
      <c r="I87" s="82">
        <f>1-I83/I16</f>
        <v>0.83310770395396083</v>
      </c>
      <c r="J87" s="31" t="s">
        <v>34</v>
      </c>
      <c r="K87" s="31" t="s">
        <v>444</v>
      </c>
    </row>
    <row r="88" spans="4:11" x14ac:dyDescent="0.2">
      <c r="D88" s="31" t="s">
        <v>445</v>
      </c>
      <c r="E88" s="53" t="s">
        <v>54</v>
      </c>
      <c r="I88" s="82">
        <f>1-I84/I16</f>
        <v>1</v>
      </c>
      <c r="J88" s="31" t="s">
        <v>34</v>
      </c>
      <c r="K88" s="31"/>
    </row>
    <row r="89" spans="4:11" ht="25.5" x14ac:dyDescent="0.2">
      <c r="D89" s="31" t="s">
        <v>446</v>
      </c>
      <c r="E89" s="53" t="s">
        <v>51</v>
      </c>
      <c r="I89" s="183">
        <f>I72*I86</f>
        <v>2.0430679032622487</v>
      </c>
      <c r="J89" s="31" t="s">
        <v>35</v>
      </c>
      <c r="K89" s="36" t="s">
        <v>447</v>
      </c>
    </row>
    <row r="90" spans="4:11" x14ac:dyDescent="0.2">
      <c r="D90" s="31" t="s">
        <v>448</v>
      </c>
      <c r="E90" s="53" t="s">
        <v>51</v>
      </c>
      <c r="I90" s="183">
        <f>I74*I86</f>
        <v>3.754347560569284</v>
      </c>
      <c r="J90" s="31" t="s">
        <v>35</v>
      </c>
      <c r="K90" s="31"/>
    </row>
    <row r="91" spans="4:11" ht="25.5" x14ac:dyDescent="0.2">
      <c r="D91" s="31" t="s">
        <v>449</v>
      </c>
      <c r="E91" s="53" t="s">
        <v>51</v>
      </c>
      <c r="I91" s="183">
        <f>I89/(1+Inputs!$K$181)^(I73-ValDate)+I90/(1+Inputs!$K$181)^(I75-ValDate)</f>
        <v>3.3569046477492437</v>
      </c>
      <c r="J91" s="31" t="s">
        <v>34</v>
      </c>
      <c r="K91" s="36" t="s">
        <v>450</v>
      </c>
    </row>
    <row r="92" spans="4:11" x14ac:dyDescent="0.2">
      <c r="D92" s="31" t="s">
        <v>451</v>
      </c>
      <c r="E92" s="53" t="s">
        <v>51</v>
      </c>
      <c r="I92" s="183">
        <f>I85/MperB</f>
        <v>1.7201070583636364</v>
      </c>
      <c r="J92" s="31" t="s">
        <v>34</v>
      </c>
      <c r="K92" s="31" t="s">
        <v>452</v>
      </c>
    </row>
    <row r="93" spans="4:11" x14ac:dyDescent="0.2">
      <c r="D93" s="31" t="s">
        <v>453</v>
      </c>
      <c r="E93" s="53" t="s">
        <v>51</v>
      </c>
      <c r="I93" s="183">
        <f>I16*I28/MperB</f>
        <v>162.99798742611603</v>
      </c>
      <c r="J93" s="31" t="s">
        <v>34</v>
      </c>
      <c r="K93" s="31" t="s">
        <v>454</v>
      </c>
    </row>
    <row r="94" spans="4:11" x14ac:dyDescent="0.2">
      <c r="D94" s="31" t="s">
        <v>455</v>
      </c>
      <c r="E94" s="53" t="s">
        <v>54</v>
      </c>
      <c r="I94" s="82">
        <f>(I78+I16)/I48</f>
        <v>0.20647618242917373</v>
      </c>
      <c r="J94" s="31" t="s">
        <v>34</v>
      </c>
      <c r="K94" s="31"/>
    </row>
    <row r="95" spans="4:11" x14ac:dyDescent="0.2">
      <c r="D95" s="31" t="s">
        <v>2197</v>
      </c>
      <c r="E95" s="53" t="s">
        <v>54</v>
      </c>
      <c r="I95" s="82">
        <f>(I78+I16)/I20</f>
        <v>0.20573195715521367</v>
      </c>
      <c r="J95" s="31" t="s">
        <v>34</v>
      </c>
      <c r="K95" s="31" t="s">
        <v>2198</v>
      </c>
    </row>
    <row r="97" spans="3:11" x14ac:dyDescent="0.2">
      <c r="C97" s="200" t="s">
        <v>8</v>
      </c>
      <c r="D97" s="315" t="s">
        <v>456</v>
      </c>
      <c r="E97" s="316"/>
      <c r="F97" s="316"/>
      <c r="G97" s="316"/>
      <c r="H97" s="316"/>
      <c r="I97" s="316"/>
      <c r="J97" s="316"/>
      <c r="K97" s="316"/>
    </row>
    <row r="98" spans="3:11" x14ac:dyDescent="0.2">
      <c r="D98" s="31" t="s">
        <v>457</v>
      </c>
      <c r="E98" s="53" t="s">
        <v>114</v>
      </c>
      <c r="I98" s="301">
        <f>'Filing Data'!$I$91</f>
        <v>56.086500000000001</v>
      </c>
      <c r="J98" s="31" t="s">
        <v>458</v>
      </c>
      <c r="K98" s="31" t="s">
        <v>2184</v>
      </c>
    </row>
    <row r="99" spans="3:11" x14ac:dyDescent="0.2">
      <c r="D99" s="31" t="s">
        <v>459</v>
      </c>
      <c r="E99" s="53" t="s">
        <v>114</v>
      </c>
      <c r="I99" s="3">
        <f>I98/I31</f>
        <v>5.6086499999999999</v>
      </c>
      <c r="J99" s="31" t="s">
        <v>34</v>
      </c>
      <c r="K99" s="31"/>
    </row>
    <row r="100" spans="3:11" x14ac:dyDescent="0.2">
      <c r="D100" s="31" t="s">
        <v>460</v>
      </c>
      <c r="E100" s="53" t="s">
        <v>47</v>
      </c>
      <c r="I100" s="318">
        <f>I28/I99</f>
        <v>15.790688568913085</v>
      </c>
      <c r="J100" s="31" t="s">
        <v>34</v>
      </c>
      <c r="K100" s="31"/>
    </row>
    <row r="101" spans="3:11" x14ac:dyDescent="0.2">
      <c r="D101" s="31" t="s">
        <v>461</v>
      </c>
      <c r="E101" s="53" t="s">
        <v>114</v>
      </c>
      <c r="I101" s="301">
        <f>'Filing Data'!$I$92</f>
        <v>140.9676</v>
      </c>
      <c r="J101" s="31" t="s">
        <v>462</v>
      </c>
      <c r="K101" s="31" t="s">
        <v>2184</v>
      </c>
    </row>
    <row r="102" spans="3:11" x14ac:dyDescent="0.2">
      <c r="D102" s="31" t="s">
        <v>463</v>
      </c>
      <c r="E102" s="53" t="s">
        <v>114</v>
      </c>
      <c r="I102" s="3">
        <f>I101/I31</f>
        <v>14.09676</v>
      </c>
      <c r="J102" s="31" t="s">
        <v>34</v>
      </c>
      <c r="K102" s="31"/>
    </row>
    <row r="103" spans="3:11" x14ac:dyDescent="0.2">
      <c r="D103" s="31" t="s">
        <v>464</v>
      </c>
      <c r="E103" s="53" t="s">
        <v>47</v>
      </c>
      <c r="I103" s="318">
        <f>I28/I102</f>
        <v>6.2826100069827655</v>
      </c>
      <c r="J103" s="31" t="s">
        <v>34</v>
      </c>
      <c r="K103" s="31"/>
    </row>
    <row r="104" spans="3:11" x14ac:dyDescent="0.2">
      <c r="D104" s="31" t="s">
        <v>465</v>
      </c>
      <c r="E104" s="53" t="s">
        <v>114</v>
      </c>
      <c r="I104" s="301">
        <f>'Filing Data'!$I$93</f>
        <v>259.13639999999998</v>
      </c>
      <c r="J104" s="31" t="s">
        <v>355</v>
      </c>
      <c r="K104" s="31" t="s">
        <v>2184</v>
      </c>
    </row>
    <row r="105" spans="3:11" x14ac:dyDescent="0.2">
      <c r="D105" s="31" t="s">
        <v>466</v>
      </c>
      <c r="E105" s="53" t="s">
        <v>114</v>
      </c>
      <c r="I105" s="3">
        <f>I104/I31</f>
        <v>25.913639999999997</v>
      </c>
      <c r="J105" s="31" t="s">
        <v>34</v>
      </c>
      <c r="K105" s="31"/>
    </row>
    <row r="106" spans="3:11" x14ac:dyDescent="0.2">
      <c r="D106" s="31" t="s">
        <v>467</v>
      </c>
      <c r="E106" s="53" t="s">
        <v>47</v>
      </c>
      <c r="I106" s="318">
        <f>I28/I105</f>
        <v>3.4176767695327395</v>
      </c>
      <c r="J106" s="31" t="s">
        <v>34</v>
      </c>
      <c r="K106" s="31"/>
    </row>
    <row r="107" spans="3:11" x14ac:dyDescent="0.2">
      <c r="D107" s="31" t="s">
        <v>468</v>
      </c>
      <c r="E107" s="53" t="s">
        <v>114</v>
      </c>
      <c r="I107" s="3">
        <f>I30</f>
        <v>589.0095</v>
      </c>
      <c r="J107" s="31" t="s">
        <v>355</v>
      </c>
      <c r="K107" s="31" t="s">
        <v>2184</v>
      </c>
    </row>
    <row r="108" spans="3:11" x14ac:dyDescent="0.2">
      <c r="D108" s="31" t="s">
        <v>469</v>
      </c>
      <c r="E108" s="53" t="s">
        <v>114</v>
      </c>
      <c r="I108" s="3">
        <f>I107/I31</f>
        <v>58.900950000000002</v>
      </c>
      <c r="J108" s="31" t="s">
        <v>34</v>
      </c>
      <c r="K108" s="31"/>
    </row>
    <row r="109" spans="3:11" x14ac:dyDescent="0.2">
      <c r="D109" s="31" t="s">
        <v>470</v>
      </c>
      <c r="E109" s="53" t="s">
        <v>47</v>
      </c>
      <c r="I109" s="318">
        <f>I28/I108</f>
        <v>1.5036165875428897</v>
      </c>
      <c r="J109" s="31" t="s">
        <v>34</v>
      </c>
      <c r="K109" s="31"/>
    </row>
    <row r="111" spans="3:11" x14ac:dyDescent="0.2">
      <c r="C111" s="200" t="s">
        <v>8</v>
      </c>
      <c r="D111" s="315" t="s">
        <v>471</v>
      </c>
      <c r="E111" s="316"/>
      <c r="F111" s="316"/>
      <c r="G111" s="316"/>
      <c r="H111" s="316"/>
      <c r="I111" s="316"/>
      <c r="J111" s="316"/>
      <c r="K111" s="316"/>
    </row>
    <row r="112" spans="3:11" x14ac:dyDescent="0.2">
      <c r="D112" s="31" t="s">
        <v>472</v>
      </c>
      <c r="E112" s="53" t="s">
        <v>318</v>
      </c>
      <c r="I112" s="16">
        <f>'Filing Data'!$I$94</f>
        <v>2950</v>
      </c>
      <c r="J112" s="31" t="s">
        <v>473</v>
      </c>
      <c r="K112" s="31" t="s">
        <v>474</v>
      </c>
    </row>
    <row r="113" spans="2:11" x14ac:dyDescent="0.2">
      <c r="D113" s="31" t="s">
        <v>475</v>
      </c>
      <c r="E113" s="53" t="s">
        <v>318</v>
      </c>
      <c r="I113" s="16">
        <f>'Filing Data'!$I$95</f>
        <v>160</v>
      </c>
      <c r="J113" s="31" t="s">
        <v>473</v>
      </c>
      <c r="K113" s="31"/>
    </row>
    <row r="114" spans="2:11" x14ac:dyDescent="0.2">
      <c r="D114" s="31" t="s">
        <v>476</v>
      </c>
      <c r="E114" s="53" t="s">
        <v>51</v>
      </c>
      <c r="I114" s="16">
        <f>'Filing Data'!$I$96</f>
        <v>20</v>
      </c>
      <c r="J114" s="31" t="s">
        <v>477</v>
      </c>
      <c r="K114" s="31" t="s">
        <v>478</v>
      </c>
    </row>
    <row r="115" spans="2:11" x14ac:dyDescent="0.2">
      <c r="D115" s="31" t="s">
        <v>479</v>
      </c>
      <c r="E115" s="53" t="s">
        <v>51</v>
      </c>
      <c r="I115" s="16">
        <f>'Filing Data'!$I$97</f>
        <v>15</v>
      </c>
      <c r="J115" s="31" t="s">
        <v>477</v>
      </c>
      <c r="K115" s="31" t="s">
        <v>480</v>
      </c>
    </row>
    <row r="116" spans="2:11" x14ac:dyDescent="0.2">
      <c r="D116" s="31" t="s">
        <v>481</v>
      </c>
      <c r="E116" s="53" t="s">
        <v>51</v>
      </c>
      <c r="I116" s="183">
        <f>I114+I115+I58</f>
        <v>77</v>
      </c>
      <c r="J116" s="31" t="s">
        <v>477</v>
      </c>
      <c r="K116" s="31" t="s">
        <v>482</v>
      </c>
    </row>
    <row r="117" spans="2:11" x14ac:dyDescent="0.2">
      <c r="D117" s="31" t="s">
        <v>483</v>
      </c>
      <c r="E117" s="53" t="s">
        <v>318</v>
      </c>
      <c r="I117" s="183">
        <f>I50+I112</f>
        <v>20163.287360440001</v>
      </c>
      <c r="J117" s="31" t="s">
        <v>34</v>
      </c>
      <c r="K117" s="31" t="s">
        <v>484</v>
      </c>
    </row>
    <row r="119" spans="2:11" x14ac:dyDescent="0.2">
      <c r="B119" s="5" t="s">
        <v>8</v>
      </c>
      <c r="C119" s="5" t="s">
        <v>8</v>
      </c>
      <c r="D119" s="46" t="s">
        <v>1975</v>
      </c>
      <c r="E119" s="47"/>
      <c r="F119" s="47"/>
      <c r="G119" s="47"/>
      <c r="H119" s="47"/>
      <c r="I119" s="47"/>
      <c r="J119" s="47"/>
      <c r="K119" s="47"/>
    </row>
    <row r="120" spans="2:11" x14ac:dyDescent="0.2">
      <c r="D120" s="31" t="s">
        <v>1879</v>
      </c>
      <c r="E120" s="31" t="s">
        <v>318</v>
      </c>
      <c r="I120" s="319">
        <f>'Filing Data'!$I$120</f>
        <v>2168.788</v>
      </c>
      <c r="J120" s="31" t="s">
        <v>1880</v>
      </c>
    </row>
    <row r="121" spans="2:11" x14ac:dyDescent="0.2">
      <c r="D121" s="31" t="s">
        <v>1882</v>
      </c>
      <c r="E121" s="31" t="s">
        <v>318</v>
      </c>
      <c r="I121" s="319">
        <f>'Filing Data'!$I$121</f>
        <v>1774.3430000000001</v>
      </c>
      <c r="J121" s="31" t="s">
        <v>1883</v>
      </c>
    </row>
    <row r="122" spans="2:11" x14ac:dyDescent="0.2">
      <c r="D122" s="31" t="s">
        <v>1885</v>
      </c>
      <c r="E122" s="31" t="s">
        <v>114</v>
      </c>
      <c r="I122" s="320">
        <f>'Filing Data'!$I$122</f>
        <v>2.91</v>
      </c>
      <c r="J122" s="31" t="s">
        <v>1883</v>
      </c>
    </row>
    <row r="123" spans="2:11" x14ac:dyDescent="0.2">
      <c r="D123" s="31" t="s">
        <v>1887</v>
      </c>
      <c r="E123" s="31" t="s">
        <v>318</v>
      </c>
      <c r="I123" s="321">
        <f>I120-I9</f>
        <v>11.389999999999873</v>
      </c>
      <c r="J123" s="31" t="s">
        <v>34</v>
      </c>
    </row>
    <row r="124" spans="2:11" x14ac:dyDescent="0.2">
      <c r="D124" s="31" t="s">
        <v>1888</v>
      </c>
      <c r="E124" s="31" t="s">
        <v>318</v>
      </c>
      <c r="I124" s="321">
        <f>I121-I22</f>
        <v>-22.722999999999956</v>
      </c>
      <c r="J124" s="31" t="s">
        <v>34</v>
      </c>
    </row>
    <row r="125" spans="2:11" x14ac:dyDescent="0.2">
      <c r="D125" s="31" t="s">
        <v>1889</v>
      </c>
      <c r="E125" s="31" t="s">
        <v>318</v>
      </c>
      <c r="I125" s="321">
        <f>I123+I124</f>
        <v>-11.333000000000084</v>
      </c>
      <c r="J125" s="31" t="s">
        <v>34</v>
      </c>
    </row>
  </sheetData>
  <pageMargins left="0.75" right="0.75" top="1" bottom="1" header="0.5" footer="0.5"/>
  <pageSetup scale="61" fitToHeight="0" orientation="landscape"/>
  <headerFooter>
    <oddFooter>&amp;C&amp;A, page &amp;P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A6A6A6"/>
    <pageSetUpPr fitToPage="1"/>
  </sheetPr>
  <dimension ref="A1:Q26"/>
  <sheetViews>
    <sheetView showGridLines="0" zoomScale="85" workbookViewId="0">
      <pane xSplit="5" ySplit="6" topLeftCell="F7" activePane="bottomRight" state="frozenSplit"/>
      <selection pane="topRight" activeCell="F1" sqref="F1"/>
      <selection pane="bottomLeft" activeCell="A7" sqref="A7"/>
      <selection pane="bottomRight"/>
    </sheetView>
  </sheetViews>
  <sheetFormatPr defaultRowHeight="12.75" x14ac:dyDescent="0.2"/>
  <cols>
    <col min="1" max="1" width="1.7109375" style="10" customWidth="1"/>
    <col min="2" max="3" width="2.28515625" style="10" customWidth="1"/>
    <col min="4" max="4" width="62.7109375" style="10" customWidth="1"/>
    <col min="5" max="5" width="5.85546875" style="10" customWidth="1"/>
    <col min="6" max="6" width="10" style="10" customWidth="1"/>
    <col min="7" max="17" width="9" style="10" customWidth="1"/>
    <col min="18" max="18" width="2" style="10" customWidth="1"/>
    <col min="19" max="16384" width="9.140625" style="10"/>
  </cols>
  <sheetData>
    <row r="1" spans="1:17" ht="12.75" customHeight="1" x14ac:dyDescent="0.25">
      <c r="A1" s="218" t="s">
        <v>2148</v>
      </c>
    </row>
    <row r="2" spans="1:17" ht="12.75" customHeight="1" x14ac:dyDescent="0.2">
      <c r="A2" s="219" t="s">
        <v>29</v>
      </c>
    </row>
    <row r="3" spans="1:17" ht="12.75" customHeight="1" x14ac:dyDescent="0.2">
      <c r="A3" s="220" t="s">
        <v>485</v>
      </c>
    </row>
    <row r="4" spans="1:17" ht="12.75" customHeight="1" x14ac:dyDescent="0.2">
      <c r="A4" s="214"/>
      <c r="B4" s="214"/>
      <c r="C4" s="214"/>
      <c r="D4" s="214"/>
      <c r="E4" s="214"/>
      <c r="F4" s="214"/>
      <c r="G4" s="214"/>
      <c r="H4" s="214"/>
      <c r="I4" s="214"/>
      <c r="J4" s="214"/>
      <c r="K4" s="214"/>
      <c r="L4" s="214"/>
      <c r="M4" s="214"/>
      <c r="N4" s="214"/>
      <c r="O4" s="214"/>
      <c r="P4" s="214"/>
      <c r="Q4" s="214"/>
    </row>
    <row r="6" spans="1:17" x14ac:dyDescent="0.2">
      <c r="D6" s="198" t="s">
        <v>265</v>
      </c>
      <c r="E6" s="198" t="s">
        <v>39</v>
      </c>
      <c r="F6" s="198" t="s">
        <v>486</v>
      </c>
      <c r="G6" s="199" t="s">
        <v>977</v>
      </c>
      <c r="H6" s="199" t="s">
        <v>157</v>
      </c>
      <c r="I6" s="199" t="s">
        <v>158</v>
      </c>
      <c r="J6" s="199" t="s">
        <v>159</v>
      </c>
      <c r="K6" s="199" t="s">
        <v>160</v>
      </c>
      <c r="L6" s="199" t="s">
        <v>161</v>
      </c>
      <c r="M6" s="199" t="s">
        <v>162</v>
      </c>
      <c r="N6" s="199" t="s">
        <v>163</v>
      </c>
      <c r="O6" s="199" t="s">
        <v>164</v>
      </c>
      <c r="P6" s="199" t="s">
        <v>165</v>
      </c>
      <c r="Q6" s="199" t="s">
        <v>166</v>
      </c>
    </row>
    <row r="7" spans="1:17" ht="25.5" x14ac:dyDescent="0.2">
      <c r="D7" s="172" t="s">
        <v>487</v>
      </c>
      <c r="F7" s="75">
        <f>Inputs!$K$243/(Inputs!$K$243+Inputs!$K$244)</f>
        <v>0.25386996904024767</v>
      </c>
    </row>
    <row r="8" spans="1:17" x14ac:dyDescent="0.2">
      <c r="D8" s="4" t="s">
        <v>488</v>
      </c>
      <c r="E8" s="7" t="s">
        <v>59</v>
      </c>
      <c r="G8" s="74">
        <f>IF('Compute Commitments'!M$11=0,0,('Compute Commitments'!M$8+'Compute Commitments'!M$9)/2-IPODate)</f>
        <v>0</v>
      </c>
      <c r="H8" s="74">
        <f>IF('Compute Commitments'!N$11=0,0,('Compute Commitments'!N$8+'Compute Commitments'!N$9)/2-IPODate)</f>
        <v>0.61999999999989086</v>
      </c>
      <c r="I8" s="74">
        <f>IF('Compute Commitments'!O$11=0,0,('Compute Commitments'!O$8+'Compute Commitments'!O$9)/2-IPODate)</f>
        <v>1.6199999999998909</v>
      </c>
      <c r="J8" s="74">
        <f>IF('Compute Commitments'!P$11=0,0,('Compute Commitments'!P$8+'Compute Commitments'!P$9)/2-IPODate)</f>
        <v>2.6199999999998909</v>
      </c>
      <c r="K8" s="74">
        <f>IF('Compute Commitments'!Q$11=0,0,('Compute Commitments'!Q$8+'Compute Commitments'!Q$9)/2-IPODate)</f>
        <v>3.6199999999998909</v>
      </c>
      <c r="L8" s="74">
        <f>IF('Compute Commitments'!R$11=0,0,('Compute Commitments'!R$8+'Compute Commitments'!R$9)/2-IPODate)</f>
        <v>4.6199999999998909</v>
      </c>
      <c r="M8" s="74">
        <f>IF('Compute Commitments'!S$11=0,0,('Compute Commitments'!S$8+'Compute Commitments'!S$9)/2-IPODate)</f>
        <v>5.6199999999998909</v>
      </c>
      <c r="N8" s="74">
        <f>IF('Compute Commitments'!T$11=0,0,('Compute Commitments'!T$8+'Compute Commitments'!T$9)/2-IPODate)</f>
        <v>6.6199999999998909</v>
      </c>
      <c r="O8" s="74">
        <f>IF('Compute Commitments'!U$11=0,0,('Compute Commitments'!U$8+'Compute Commitments'!U$9)/2-IPODate)</f>
        <v>7.6199999999998909</v>
      </c>
      <c r="P8" s="74">
        <f>IF('Compute Commitments'!V$11=0,0,('Compute Commitments'!V$8+'Compute Commitments'!V$9)/2-IPODate)</f>
        <v>8.6199999999998909</v>
      </c>
      <c r="Q8" s="74">
        <f>IF('Compute Commitments'!W$11=0,0,('Compute Commitments'!W$8+'Compute Commitments'!W$9)/2-IPODate)</f>
        <v>9.6199999999998909</v>
      </c>
    </row>
    <row r="9" spans="1:17" x14ac:dyDescent="0.2">
      <c r="D9" s="4" t="s">
        <v>489</v>
      </c>
      <c r="E9" s="7" t="s">
        <v>47</v>
      </c>
      <c r="G9" s="130">
        <f>(1+Inputs!$K$220)^G8</f>
        <v>1</v>
      </c>
      <c r="H9" s="130">
        <f>(1+Inputs!$K$220)^H8</f>
        <v>1.0590185384131756</v>
      </c>
      <c r="I9" s="130">
        <f>(1+Inputs!$K$220)^I8</f>
        <v>1.1616374347854124</v>
      </c>
      <c r="J9" s="130">
        <f>(1+Inputs!$K$220)^J8</f>
        <v>1.2742001022161189</v>
      </c>
      <c r="K9" s="130">
        <f>(1+Inputs!$K$220)^K8</f>
        <v>1.3976700921208607</v>
      </c>
      <c r="L9" s="130">
        <f>(1+Inputs!$K$220)^L8</f>
        <v>1.5331043240473721</v>
      </c>
      <c r="M9" s="130">
        <f>(1+Inputs!$K$220)^M8</f>
        <v>1.6816621330475623</v>
      </c>
      <c r="N9" s="130">
        <f>(1+Inputs!$K$220)^N8</f>
        <v>1.8446151937398712</v>
      </c>
      <c r="O9" s="130">
        <f>(1+Inputs!$K$220)^O8</f>
        <v>2.0233584060132648</v>
      </c>
      <c r="P9" s="130">
        <f>(1+Inputs!$K$220)^P8</f>
        <v>2.2194218355559499</v>
      </c>
      <c r="Q9" s="130">
        <f>(1+Inputs!$K$220)^Q8</f>
        <v>2.4344838114213214</v>
      </c>
    </row>
    <row r="10" spans="1:17" x14ac:dyDescent="0.2">
      <c r="D10" s="4" t="s">
        <v>490</v>
      </c>
      <c r="E10" s="7" t="s">
        <v>318</v>
      </c>
      <c r="F10" s="73">
        <f t="shared" ref="F10:F15" si="0">SUM(G10:Q10)</f>
        <v>1049.6309999999999</v>
      </c>
      <c r="G10" s="73">
        <f>'Dilution Calcs'!$I$24*(IF('Compute Commitments'!M$11=0,$F$7,0)+(1-$F$7)*IF('Compute Commitments'!M$11&lt;ROWS(Inputs!$K$245:$K$248),INDEX(Inputs!$K$245:$K$248,'Compute Commitments'!M$11+1),0))</f>
        <v>360.4491347368421</v>
      </c>
      <c r="H10" s="73">
        <f>'Dilution Calcs'!$I$24*(IF('Compute Commitments'!N$11=0,$F$7,0)+(1-$F$7)*IF('Compute Commitments'!N$11&lt;ROWS(Inputs!$K$245:$K$248),INDEX(Inputs!$K$245:$K$248,'Compute Commitments'!N$11+1),0))</f>
        <v>391.58060526315791</v>
      </c>
      <c r="I10" s="73">
        <f>'Dilution Calcs'!$I$24*(IF('Compute Commitments'!O$11=0,$F$7,0)+(1-$F$7)*IF('Compute Commitments'!O$11&lt;ROWS(Inputs!$K$245:$K$248),INDEX(Inputs!$K$245:$K$248,'Compute Commitments'!O$11+1),0))</f>
        <v>219.28513894736844</v>
      </c>
      <c r="J10" s="73">
        <f>'Dilution Calcs'!$I$24*(IF('Compute Commitments'!P$11=0,$F$7,0)+(1-$F$7)*IF('Compute Commitments'!P$11&lt;ROWS(Inputs!$K$245:$K$248),INDEX(Inputs!$K$245:$K$248,'Compute Commitments'!P$11+1),0))</f>
        <v>78.316121052631559</v>
      </c>
      <c r="K10" s="73">
        <f>'Dilution Calcs'!$I$24*(IF('Compute Commitments'!Q$11=0,$F$7,0)+(1-$F$7)*IF('Compute Commitments'!Q$11&lt;ROWS(Inputs!$K$245:$K$248),INDEX(Inputs!$K$245:$K$248,'Compute Commitments'!Q$11+1),0))</f>
        <v>0</v>
      </c>
      <c r="L10" s="73">
        <f>'Dilution Calcs'!$I$24*(IF('Compute Commitments'!R$11=0,$F$7,0)+(1-$F$7)*IF('Compute Commitments'!R$11&lt;ROWS(Inputs!$K$245:$K$248),INDEX(Inputs!$K$245:$K$248,'Compute Commitments'!R$11+1),0))</f>
        <v>0</v>
      </c>
      <c r="M10" s="73">
        <f>'Dilution Calcs'!$I$24*(IF('Compute Commitments'!S$11=0,$F$7,0)+(1-$F$7)*IF('Compute Commitments'!S$11&lt;ROWS(Inputs!$K$245:$K$248),INDEX(Inputs!$K$245:$K$248,'Compute Commitments'!S$11+1),0))</f>
        <v>0</v>
      </c>
      <c r="N10" s="73">
        <f>'Dilution Calcs'!$I$24*(IF('Compute Commitments'!T$11=0,$F$7,0)+(1-$F$7)*IF('Compute Commitments'!T$11&lt;ROWS(Inputs!$K$245:$K$248),INDEX(Inputs!$K$245:$K$248,'Compute Commitments'!T$11+1),0))</f>
        <v>0</v>
      </c>
      <c r="O10" s="73">
        <f>'Dilution Calcs'!$I$24*(IF('Compute Commitments'!U$11=0,$F$7,0)+(1-$F$7)*IF('Compute Commitments'!U$11&lt;ROWS(Inputs!$K$245:$K$248),INDEX(Inputs!$K$245:$K$248,'Compute Commitments'!U$11+1),0))</f>
        <v>0</v>
      </c>
      <c r="P10" s="73">
        <f>'Dilution Calcs'!$I$24*(IF('Compute Commitments'!V$11=0,$F$7,0)+(1-$F$7)*IF('Compute Commitments'!V$11&lt;ROWS(Inputs!$K$245:$K$248),INDEX(Inputs!$K$245:$K$248,'Compute Commitments'!V$11+1),0))</f>
        <v>0</v>
      </c>
      <c r="Q10" s="73">
        <f>'Dilution Calcs'!$I$24*(IF('Compute Commitments'!W$11=0,$F$7,0)+(1-$F$7)*IF('Compute Commitments'!W$11&lt;ROWS(Inputs!$K$245:$K$248),INDEX(Inputs!$K$245:$K$248,'Compute Commitments'!W$11+1),0))</f>
        <v>0</v>
      </c>
    </row>
    <row r="11" spans="1:17" x14ac:dyDescent="0.2">
      <c r="D11" s="4" t="s">
        <v>491</v>
      </c>
      <c r="E11" s="7" t="s">
        <v>318</v>
      </c>
      <c r="F11" s="73">
        <f t="shared" si="0"/>
        <v>1049.6310000000001</v>
      </c>
      <c r="G11" s="73">
        <f>'Dilution Calcs'!$I$24*IF('Compute Commitments'!M$11=0,Inputs!$K$222,IF('Compute Commitments'!M$11&lt;=Inputs!$K$223,(1-Inputs!$K$222)/Inputs!$K$223,0))</f>
        <v>367.37085000000002</v>
      </c>
      <c r="H11" s="73">
        <f>'Dilution Calcs'!$I$24*IF('Compute Commitments'!N$11=0,Inputs!$K$222,IF('Compute Commitments'!N$11&lt;=Inputs!$K$223,(1-Inputs!$K$222)/Inputs!$K$223,0))</f>
        <v>227.42005000000003</v>
      </c>
      <c r="I11" s="73">
        <f>'Dilution Calcs'!$I$24*IF('Compute Commitments'!O$11=0,Inputs!$K$222,IF('Compute Commitments'!O$11&lt;=Inputs!$K$223,(1-Inputs!$K$222)/Inputs!$K$223,0))</f>
        <v>227.42005000000003</v>
      </c>
      <c r="J11" s="73">
        <f>'Dilution Calcs'!$I$24*IF('Compute Commitments'!P$11=0,Inputs!$K$222,IF('Compute Commitments'!P$11&lt;=Inputs!$K$223,(1-Inputs!$K$222)/Inputs!$K$223,0))</f>
        <v>227.42005000000003</v>
      </c>
      <c r="K11" s="73">
        <f>'Dilution Calcs'!$I$24*IF('Compute Commitments'!Q$11=0,Inputs!$K$222,IF('Compute Commitments'!Q$11&lt;=Inputs!$K$223,(1-Inputs!$K$222)/Inputs!$K$223,0))</f>
        <v>0</v>
      </c>
      <c r="L11" s="73">
        <f>'Dilution Calcs'!$I$24*IF('Compute Commitments'!R$11=0,Inputs!$K$222,IF('Compute Commitments'!R$11&lt;=Inputs!$K$223,(1-Inputs!$K$222)/Inputs!$K$223,0))</f>
        <v>0</v>
      </c>
      <c r="M11" s="73">
        <f>'Dilution Calcs'!$I$24*IF('Compute Commitments'!S$11=0,Inputs!$K$222,IF('Compute Commitments'!S$11&lt;=Inputs!$K$223,(1-Inputs!$K$222)/Inputs!$K$223,0))</f>
        <v>0</v>
      </c>
      <c r="N11" s="73">
        <f>'Dilution Calcs'!$I$24*IF('Compute Commitments'!T$11=0,Inputs!$K$222,IF('Compute Commitments'!T$11&lt;=Inputs!$K$223,(1-Inputs!$K$222)/Inputs!$K$223,0))</f>
        <v>0</v>
      </c>
      <c r="O11" s="73">
        <f>'Dilution Calcs'!$I$24*IF('Compute Commitments'!U$11=0,Inputs!$K$222,IF('Compute Commitments'!U$11&lt;=Inputs!$K$223,(1-Inputs!$K$222)/Inputs!$K$223,0))</f>
        <v>0</v>
      </c>
      <c r="P11" s="73">
        <f>'Dilution Calcs'!$I$24*IF('Compute Commitments'!V$11=0,Inputs!$K$222,IF('Compute Commitments'!V$11&lt;=Inputs!$K$223,(1-Inputs!$K$222)/Inputs!$K$223,0))</f>
        <v>0</v>
      </c>
      <c r="Q11" s="73">
        <f>'Dilution Calcs'!$I$24*IF('Compute Commitments'!W$11=0,Inputs!$K$222,IF('Compute Commitments'!W$11&lt;=Inputs!$K$223,(1-Inputs!$K$222)/Inputs!$K$223,0))</f>
        <v>0</v>
      </c>
    </row>
    <row r="12" spans="1:17" x14ac:dyDescent="0.2">
      <c r="D12" s="4" t="s">
        <v>876</v>
      </c>
      <c r="E12" s="7" t="s">
        <v>318</v>
      </c>
      <c r="F12" s="73">
        <f t="shared" si="0"/>
        <v>125.36299999999983</v>
      </c>
      <c r="G12" s="73">
        <f>'Dilution Calcs'!$I$40*(MAX(0,MIN(Inputs!$K$224*QperY,('Compute Commitments'!M$9-Inputs!$K$225)*QperY))-MAX(0,MIN(Inputs!$K$224*QperY,('Compute Commitments'!M$8-Inputs!$K$225)*QperY)))/(Inputs!$K$224*QperY)</f>
        <v>7.8351874999999893</v>
      </c>
      <c r="H12" s="73">
        <f>'Dilution Calcs'!$I$40*(MAX(0,MIN(Inputs!$K$224*QperY,('Compute Commitments'!N$9-Inputs!$K$225)*QperY))-MAX(0,MIN(Inputs!$K$224*QperY,('Compute Commitments'!N$8-Inputs!$K$225)*QperY)))/(Inputs!$K$224*QperY)</f>
        <v>31.340749999999957</v>
      </c>
      <c r="I12" s="73">
        <f>'Dilution Calcs'!$I$40*(MAX(0,MIN(Inputs!$K$224*QperY,('Compute Commitments'!O$9-Inputs!$K$225)*QperY))-MAX(0,MIN(Inputs!$K$224*QperY,('Compute Commitments'!O$8-Inputs!$K$225)*QperY)))/(Inputs!$K$224*QperY)</f>
        <v>31.340749999999957</v>
      </c>
      <c r="J12" s="73">
        <f>'Dilution Calcs'!$I$40*(MAX(0,MIN(Inputs!$K$224*QperY,('Compute Commitments'!P$9-Inputs!$K$225)*QperY))-MAX(0,MIN(Inputs!$K$224*QperY,('Compute Commitments'!P$8-Inputs!$K$225)*QperY)))/(Inputs!$K$224*QperY)</f>
        <v>31.340749999999957</v>
      </c>
      <c r="K12" s="73">
        <f>'Dilution Calcs'!$I$40*(MAX(0,MIN(Inputs!$K$224*QperY,('Compute Commitments'!Q$9-Inputs!$K$225)*QperY))-MAX(0,MIN(Inputs!$K$224*QperY,('Compute Commitments'!Q$8-Inputs!$K$225)*QperY)))/(Inputs!$K$224*QperY)</f>
        <v>23.505562499999968</v>
      </c>
      <c r="L12" s="73">
        <f>'Dilution Calcs'!$I$40*(MAX(0,MIN(Inputs!$K$224*QperY,('Compute Commitments'!R$9-Inputs!$K$225)*QperY))-MAX(0,MIN(Inputs!$K$224*QperY,('Compute Commitments'!R$8-Inputs!$K$225)*QperY)))/(Inputs!$K$224*QperY)</f>
        <v>0</v>
      </c>
      <c r="M12" s="73">
        <f>'Dilution Calcs'!$I$40*(MAX(0,MIN(Inputs!$K$224*QperY,('Compute Commitments'!S$9-Inputs!$K$225)*QperY))-MAX(0,MIN(Inputs!$K$224*QperY,('Compute Commitments'!S$8-Inputs!$K$225)*QperY)))/(Inputs!$K$224*QperY)</f>
        <v>0</v>
      </c>
      <c r="N12" s="73">
        <f>'Dilution Calcs'!$I$40*(MAX(0,MIN(Inputs!$K$224*QperY,('Compute Commitments'!T$9-Inputs!$K$225)*QperY))-MAX(0,MIN(Inputs!$K$224*QperY,('Compute Commitments'!T$8-Inputs!$K$225)*QperY)))/(Inputs!$K$224*QperY)</f>
        <v>0</v>
      </c>
      <c r="O12" s="73">
        <f>'Dilution Calcs'!$I$40*(MAX(0,MIN(Inputs!$K$224*QperY,('Compute Commitments'!U$9-Inputs!$K$225)*QperY))-MAX(0,MIN(Inputs!$K$224*QperY,('Compute Commitments'!U$8-Inputs!$K$225)*QperY)))/(Inputs!$K$224*QperY)</f>
        <v>0</v>
      </c>
      <c r="P12" s="73">
        <f>'Dilution Calcs'!$I$40*(MAX(0,MIN(Inputs!$K$224*QperY,('Compute Commitments'!V$9-Inputs!$K$225)*QperY))-MAX(0,MIN(Inputs!$K$224*QperY,('Compute Commitments'!V$8-Inputs!$K$225)*QperY)))/(Inputs!$K$224*QperY)</f>
        <v>0</v>
      </c>
      <c r="Q12" s="73">
        <f>'Dilution Calcs'!$I$40*(MAX(0,MIN(Inputs!$K$224*QperY,('Compute Commitments'!W$9-Inputs!$K$225)*QperY))-MAX(0,MIN(Inputs!$K$224*QperY,('Compute Commitments'!W$8-Inputs!$K$225)*QperY)))/(Inputs!$K$224*QperY)</f>
        <v>0</v>
      </c>
    </row>
    <row r="13" spans="1:17" x14ac:dyDescent="0.2">
      <c r="D13" s="4" t="s">
        <v>492</v>
      </c>
      <c r="E13" s="7" t="s">
        <v>318</v>
      </c>
      <c r="F13" s="73">
        <f t="shared" si="0"/>
        <v>1774.3430000000001</v>
      </c>
      <c r="G13" s="73">
        <f>'Dilution Calcs'!$I$121*IF(AND('Compute Commitments'!M$11&gt;=1,'Compute Commitments'!M$11&lt;=Inputs!$K$221),1/Inputs!$K$221,0)</f>
        <v>0</v>
      </c>
      <c r="H13" s="73">
        <f>'Dilution Calcs'!$I$121*IF(AND('Compute Commitments'!N$11&gt;=1,'Compute Commitments'!N$11&lt;=Inputs!$K$221),1/Inputs!$K$221,0)</f>
        <v>354.86860000000001</v>
      </c>
      <c r="I13" s="73">
        <f>'Dilution Calcs'!$I$121*IF(AND('Compute Commitments'!O$11&gt;=1,'Compute Commitments'!O$11&lt;=Inputs!$K$221),1/Inputs!$K$221,0)</f>
        <v>354.86860000000001</v>
      </c>
      <c r="J13" s="73">
        <f>'Dilution Calcs'!$I$121*IF(AND('Compute Commitments'!P$11&gt;=1,'Compute Commitments'!P$11&lt;=Inputs!$K$221),1/Inputs!$K$221,0)</f>
        <v>354.86860000000001</v>
      </c>
      <c r="K13" s="73">
        <f>'Dilution Calcs'!$I$121*IF(AND('Compute Commitments'!Q$11&gt;=1,'Compute Commitments'!Q$11&lt;=Inputs!$K$221),1/Inputs!$K$221,0)</f>
        <v>354.86860000000001</v>
      </c>
      <c r="L13" s="73">
        <f>'Dilution Calcs'!$I$121*IF(AND('Compute Commitments'!R$11&gt;=1,'Compute Commitments'!R$11&lt;=Inputs!$K$221),1/Inputs!$K$221,0)</f>
        <v>354.86860000000001</v>
      </c>
      <c r="M13" s="73">
        <f>'Dilution Calcs'!$I$121*IF(AND('Compute Commitments'!S$11&gt;=1,'Compute Commitments'!S$11&lt;=Inputs!$K$221),1/Inputs!$K$221,0)</f>
        <v>0</v>
      </c>
      <c r="N13" s="73">
        <f>'Dilution Calcs'!$I$121*IF(AND('Compute Commitments'!T$11&gt;=1,'Compute Commitments'!T$11&lt;=Inputs!$K$221),1/Inputs!$K$221,0)</f>
        <v>0</v>
      </c>
      <c r="O13" s="73">
        <f>'Dilution Calcs'!$I$121*IF(AND('Compute Commitments'!U$11&gt;=1,'Compute Commitments'!U$11&lt;=Inputs!$K$221),1/Inputs!$K$221,0)</f>
        <v>0</v>
      </c>
      <c r="P13" s="73">
        <f>'Dilution Calcs'!$I$121*IF(AND('Compute Commitments'!V$11&gt;=1,'Compute Commitments'!V$11&lt;=Inputs!$K$221),1/Inputs!$K$221,0)</f>
        <v>0</v>
      </c>
      <c r="Q13" s="73">
        <f>'Dilution Calcs'!$I$121*IF(AND('Compute Commitments'!W$11&gt;=1,'Compute Commitments'!W$11&lt;=Inputs!$K$221),1/Inputs!$K$221,0)</f>
        <v>0</v>
      </c>
    </row>
    <row r="14" spans="1:17" x14ac:dyDescent="0.2">
      <c r="D14" s="4" t="s">
        <v>493</v>
      </c>
      <c r="E14" s="7" t="s">
        <v>51</v>
      </c>
      <c r="F14" s="73">
        <f t="shared" si="0"/>
        <v>5.1633381300000005</v>
      </c>
      <c r="G14" s="73">
        <f>G13*'Dilution Calcs'!$I$122/MperB</f>
        <v>0</v>
      </c>
      <c r="H14" s="73">
        <f>H13*'Dilution Calcs'!$I$122/MperB</f>
        <v>1.0326676260000001</v>
      </c>
      <c r="I14" s="73">
        <f>I13*'Dilution Calcs'!$I$122/MperB</f>
        <v>1.0326676260000001</v>
      </c>
      <c r="J14" s="73">
        <f>J13*'Dilution Calcs'!$I$122/MperB</f>
        <v>1.0326676260000001</v>
      </c>
      <c r="K14" s="73">
        <f>K13*'Dilution Calcs'!$I$122/MperB</f>
        <v>1.0326676260000001</v>
      </c>
      <c r="L14" s="73">
        <f>L13*'Dilution Calcs'!$I$122/MperB</f>
        <v>1.0326676260000001</v>
      </c>
      <c r="M14" s="73">
        <f>M13*'Dilution Calcs'!$I$122/MperB</f>
        <v>0</v>
      </c>
      <c r="N14" s="73">
        <f>N13*'Dilution Calcs'!$I$122/MperB</f>
        <v>0</v>
      </c>
      <c r="O14" s="73">
        <f>O13*'Dilution Calcs'!$I$122/MperB</f>
        <v>0</v>
      </c>
      <c r="P14" s="73">
        <f>P13*'Dilution Calcs'!$I$122/MperB</f>
        <v>0</v>
      </c>
      <c r="Q14" s="73">
        <f>Q13*'Dilution Calcs'!$I$122/MperB</f>
        <v>0</v>
      </c>
    </row>
    <row r="15" spans="1:17" x14ac:dyDescent="0.2">
      <c r="D15" s="4" t="s">
        <v>494</v>
      </c>
      <c r="E15" s="7" t="s">
        <v>51</v>
      </c>
      <c r="F15" s="73">
        <f t="shared" si="0"/>
        <v>4.132578225014675</v>
      </c>
      <c r="G15" s="73">
        <f>IF('Compute Commitments'!M$12&gt;0,G14/(1+DCF!$E$9)^'Compute Commitments'!M$12,0)</f>
        <v>0</v>
      </c>
      <c r="H15" s="73">
        <f>IF('Compute Commitments'!N$12&gt;0,H14/(1+DCF!$E$9)^'Compute Commitments'!N$12,0)</f>
        <v>0.98600029281690493</v>
      </c>
      <c r="I15" s="73">
        <f>IF('Compute Commitments'!O$12&gt;0,I14/(1+DCF!$E$9)^'Compute Commitments'!O$12,0)</f>
        <v>0.89889715818844462</v>
      </c>
      <c r="J15" s="73">
        <f>IF('Compute Commitments'!P$12&gt;0,J14/(1+DCF!$E$9)^'Compute Commitments'!P$12,0)</f>
        <v>0.8194887028794281</v>
      </c>
      <c r="K15" s="73">
        <f>IF('Compute Commitments'!Q$12&gt;0,K14/(1+DCF!$E$9)^'Compute Commitments'!Q$12,0)</f>
        <v>0.74709517994295582</v>
      </c>
      <c r="L15" s="73">
        <f>IF('Compute Commitments'!R$12&gt;0,L14/(1+DCF!$E$9)^'Compute Commitments'!R$12,0)</f>
        <v>0.68109689118694117</v>
      </c>
      <c r="M15" s="73">
        <f>IF('Compute Commitments'!S$12&gt;0,M14/(1+DCF!$E$9)^'Compute Commitments'!S$12,0)</f>
        <v>0</v>
      </c>
      <c r="N15" s="73">
        <f>IF('Compute Commitments'!T$12&gt;0,N14/(1+DCF!$E$9)^'Compute Commitments'!T$12,0)</f>
        <v>0</v>
      </c>
      <c r="O15" s="73">
        <f>IF('Compute Commitments'!U$12&gt;0,O14/(1+DCF!$E$9)^'Compute Commitments'!U$12,0)</f>
        <v>0</v>
      </c>
      <c r="P15" s="73">
        <f>IF('Compute Commitments'!V$12&gt;0,P14/(1+DCF!$E$9)^'Compute Commitments'!V$12,0)</f>
        <v>0</v>
      </c>
      <c r="Q15" s="73">
        <f>IF('Compute Commitments'!W$12&gt;0,Q14/(1+DCF!$E$9)^'Compute Commitments'!W$12,0)</f>
        <v>0</v>
      </c>
    </row>
    <row r="17" spans="3:17" x14ac:dyDescent="0.2">
      <c r="D17" s="7" t="s">
        <v>495</v>
      </c>
    </row>
    <row r="19" spans="3:17" x14ac:dyDescent="0.2">
      <c r="C19" s="200" t="s">
        <v>8</v>
      </c>
      <c r="D19" s="203" t="s">
        <v>496</v>
      </c>
      <c r="E19" s="215"/>
      <c r="F19" s="215"/>
      <c r="G19" s="215"/>
      <c r="H19" s="215"/>
      <c r="I19" s="215"/>
      <c r="J19" s="215"/>
      <c r="K19" s="215"/>
      <c r="L19" s="215"/>
      <c r="M19" s="215"/>
      <c r="N19" s="215"/>
      <c r="O19" s="215"/>
      <c r="P19" s="215"/>
      <c r="Q19" s="215"/>
    </row>
    <row r="20" spans="3:17" x14ac:dyDescent="0.2">
      <c r="D20" s="63" t="s">
        <v>1314</v>
      </c>
      <c r="E20" s="7" t="s">
        <v>114</v>
      </c>
      <c r="F20" s="1">
        <f>Sensitivities!$F$31</f>
        <v>14.1907</v>
      </c>
      <c r="G20" s="74">
        <f t="shared" ref="G20:Q20" si="1">$F20*G9</f>
        <v>14.1907</v>
      </c>
      <c r="H20" s="74">
        <f t="shared" si="1"/>
        <v>15.028214373059852</v>
      </c>
      <c r="I20" s="74">
        <f t="shared" si="1"/>
        <v>16.484448345809351</v>
      </c>
      <c r="J20" s="74">
        <f t="shared" si="1"/>
        <v>18.081791390518276</v>
      </c>
      <c r="K20" s="74">
        <f t="shared" si="1"/>
        <v>19.833916976259498</v>
      </c>
      <c r="L20" s="74">
        <f t="shared" si="1"/>
        <v>21.755823531259043</v>
      </c>
      <c r="M20" s="74">
        <f t="shared" si="1"/>
        <v>23.863962831438041</v>
      </c>
      <c r="N20" s="74">
        <f t="shared" si="1"/>
        <v>26.176380829804391</v>
      </c>
      <c r="O20" s="74">
        <f t="shared" si="1"/>
        <v>28.712872132212436</v>
      </c>
      <c r="P20" s="74">
        <f t="shared" si="1"/>
        <v>31.495149441823816</v>
      </c>
      <c r="Q20" s="74">
        <f t="shared" si="1"/>
        <v>34.547029422736543</v>
      </c>
    </row>
    <row r="21" spans="3:17" x14ac:dyDescent="0.2">
      <c r="D21" s="63" t="s">
        <v>1315</v>
      </c>
      <c r="E21" s="7" t="s">
        <v>51</v>
      </c>
      <c r="F21" s="170">
        <f>SUM(G21:Q21)</f>
        <v>34.018098029794835</v>
      </c>
      <c r="G21" s="73">
        <f>Inputs!$K$216*((G10+G12)*G20+G13*MAX(0,G20-'Dilution Calcs'!$I$122))/MperB</f>
        <v>3.9196592486747659</v>
      </c>
      <c r="H21" s="73">
        <f>Inputs!$K$216*((H10+H12)*H20+H13*MAX(0,H20-'Dilution Calcs'!$I$122))/MperB</f>
        <v>7.9920949191805271</v>
      </c>
      <c r="I21" s="73">
        <f>Inputs!$K$216*((I10+I12)*I20+I13*MAX(0,I20-'Dilution Calcs'!$I$122))/MperB</f>
        <v>6.7114312505438445</v>
      </c>
      <c r="J21" s="73">
        <f>Inputs!$K$216*((J10+J12)*J20+J13*MAX(0,J20-'Dilution Calcs'!$I$122))/MperB</f>
        <v>5.52508877786694</v>
      </c>
      <c r="K21" s="73">
        <f>Inputs!$K$216*((K10+K12)*K20+K13*MAX(0,K20-'Dilution Calcs'!$I$122))/MperB</f>
        <v>4.8539805742400395</v>
      </c>
      <c r="L21" s="73">
        <f>Inputs!$K$216*((L10+L12)*L20+L13*MAX(0,L20-'Dilution Calcs'!$I$122))/MperB</f>
        <v>5.0158432592887143</v>
      </c>
      <c r="M21" s="73">
        <f>Inputs!$K$216*((M10+M12)*M20+M13*MAX(0,M20-'Dilution Calcs'!$I$122))/MperB</f>
        <v>0</v>
      </c>
      <c r="N21" s="73">
        <f>Inputs!$K$216*((N10+N12)*N20+N13*MAX(0,N20-'Dilution Calcs'!$I$122))/MperB</f>
        <v>0</v>
      </c>
      <c r="O21" s="73">
        <f>Inputs!$K$216*((O10+O12)*O20+O13*MAX(0,O20-'Dilution Calcs'!$I$122))/MperB</f>
        <v>0</v>
      </c>
      <c r="P21" s="73">
        <f>Inputs!$K$216*((P10+P12)*P20+P13*MAX(0,P20-'Dilution Calcs'!$I$122))/MperB</f>
        <v>0</v>
      </c>
      <c r="Q21" s="73">
        <f>Inputs!$K$216*((Q10+Q12)*Q20+Q13*MAX(0,Q20-'Dilution Calcs'!$I$122))/MperB</f>
        <v>0</v>
      </c>
    </row>
    <row r="22" spans="3:17" x14ac:dyDescent="0.2">
      <c r="D22" s="63" t="s">
        <v>497</v>
      </c>
      <c r="E22" s="7" t="s">
        <v>114</v>
      </c>
      <c r="F22" s="1">
        <f>Sensitivities!$G$31</f>
        <v>82.236999999999995</v>
      </c>
      <c r="G22" s="74">
        <f t="shared" ref="G22:Q22" si="2">$F22*G9</f>
        <v>82.236999999999995</v>
      </c>
      <c r="H22" s="74">
        <f t="shared" si="2"/>
        <v>87.090507543484321</v>
      </c>
      <c r="I22" s="74">
        <f t="shared" si="2"/>
        <v>95.529577724447947</v>
      </c>
      <c r="J22" s="74">
        <f t="shared" si="2"/>
        <v>104.78639380594696</v>
      </c>
      <c r="K22" s="74">
        <f t="shared" si="2"/>
        <v>114.94019536574321</v>
      </c>
      <c r="L22" s="74">
        <f t="shared" si="2"/>
        <v>126.07790029668372</v>
      </c>
      <c r="M22" s="74">
        <f t="shared" si="2"/>
        <v>138.29484883543236</v>
      </c>
      <c r="N22" s="74">
        <f t="shared" si="2"/>
        <v>151.69561968758578</v>
      </c>
      <c r="O22" s="74">
        <f t="shared" si="2"/>
        <v>166.39492523531285</v>
      </c>
      <c r="P22" s="74">
        <f t="shared" si="2"/>
        <v>182.51859349061465</v>
      </c>
      <c r="Q22" s="74">
        <f t="shared" si="2"/>
        <v>200.20464519985521</v>
      </c>
    </row>
    <row r="23" spans="3:17" x14ac:dyDescent="0.2">
      <c r="D23" s="63" t="s">
        <v>498</v>
      </c>
      <c r="E23" s="7" t="s">
        <v>51</v>
      </c>
      <c r="F23" s="170">
        <f>SUM(G23:Q23)</f>
        <v>215.70858866883253</v>
      </c>
      <c r="G23" s="73">
        <f>Inputs!$K$216*((G10+G12)*G22+G13*MAX(0,G22-'Dilution Calcs'!$I$122))/MperB</f>
        <v>22.714948355843386</v>
      </c>
      <c r="H23" s="73">
        <f>Inputs!$K$216*((H10+H12)*H22+H13*MAX(0,H22-'Dilution Calcs'!$I$122))/MperB</f>
        <v>50.029090755069291</v>
      </c>
      <c r="I23" s="73">
        <f>Inputs!$K$216*((I10+I12)*I22+I13*MAX(0,I22-'Dilution Calcs'!$I$122))/MperB</f>
        <v>42.607473913216893</v>
      </c>
      <c r="J23" s="73">
        <f>Inputs!$K$216*((J10+J12)*J22+J13*MAX(0,J22-'Dilution Calcs'!$I$122))/MperB</f>
        <v>35.732460987460541</v>
      </c>
      <c r="K23" s="73">
        <f>Inputs!$K$216*((K10+K12)*K22+K13*MAX(0,K22-'Dilution Calcs'!$I$122))/MperB</f>
        <v>31.843299399824602</v>
      </c>
      <c r="L23" s="73">
        <f>Inputs!$K$216*((L10+L12)*L22+L13*MAX(0,L22-'Dilution Calcs'!$I$122))/MperB</f>
        <v>32.781315257417809</v>
      </c>
      <c r="M23" s="73">
        <f>Inputs!$K$216*((M10+M12)*M22+M13*MAX(0,M22-'Dilution Calcs'!$I$122))/MperB</f>
        <v>0</v>
      </c>
      <c r="N23" s="73">
        <f>Inputs!$K$216*((N10+N12)*N22+N13*MAX(0,N22-'Dilution Calcs'!$I$122))/MperB</f>
        <v>0</v>
      </c>
      <c r="O23" s="73">
        <f>Inputs!$K$216*((O10+O12)*O22+O13*MAX(0,O22-'Dilution Calcs'!$I$122))/MperB</f>
        <v>0</v>
      </c>
      <c r="P23" s="73">
        <f>Inputs!$K$216*((P10+P12)*P22+P13*MAX(0,P22-'Dilution Calcs'!$I$122))/MperB</f>
        <v>0</v>
      </c>
      <c r="Q23" s="73">
        <f>Inputs!$K$216*((Q10+Q12)*Q22+Q13*MAX(0,Q22-'Dilution Calcs'!$I$122))/MperB</f>
        <v>0</v>
      </c>
    </row>
    <row r="24" spans="3:17" x14ac:dyDescent="0.2">
      <c r="D24" s="63" t="s">
        <v>1316</v>
      </c>
      <c r="E24" s="7" t="s">
        <v>114</v>
      </c>
      <c r="F24" s="1">
        <f>Sensitivities!$H$31</f>
        <v>181.11920000000001</v>
      </c>
      <c r="G24" s="74">
        <f t="shared" ref="G24:Q24" si="3">$F24*G9</f>
        <v>181.11920000000001</v>
      </c>
      <c r="H24" s="74">
        <f t="shared" si="3"/>
        <v>191.80859046256364</v>
      </c>
      <c r="I24" s="74">
        <f t="shared" si="3"/>
        <v>210.39484287838607</v>
      </c>
      <c r="J24" s="74">
        <f t="shared" si="3"/>
        <v>230.7821031533017</v>
      </c>
      <c r="K24" s="74">
        <f t="shared" si="3"/>
        <v>253.14488894885659</v>
      </c>
      <c r="L24" s="74">
        <f t="shared" si="3"/>
        <v>277.67462868800078</v>
      </c>
      <c r="M24" s="74">
        <f t="shared" si="3"/>
        <v>304.58130020786808</v>
      </c>
      <c r="N24" s="74">
        <f t="shared" si="3"/>
        <v>334.09522819801049</v>
      </c>
      <c r="O24" s="74">
        <f t="shared" si="3"/>
        <v>366.46905581039772</v>
      </c>
      <c r="P24" s="74">
        <f t="shared" si="3"/>
        <v>401.97990731842521</v>
      </c>
      <c r="Q24" s="74">
        <f t="shared" si="3"/>
        <v>440.93176033758061</v>
      </c>
    </row>
    <row r="25" spans="3:17" x14ac:dyDescent="0.2">
      <c r="D25" s="63" t="s">
        <v>1317</v>
      </c>
      <c r="E25" s="7" t="s">
        <v>51</v>
      </c>
      <c r="F25" s="170">
        <f>SUM(G25:Q25)</f>
        <v>479.73404535740281</v>
      </c>
      <c r="G25" s="73">
        <f>Inputs!$K$216*((G10+G12)*G24+G13*MAX(0,G24-'Dilution Calcs'!$I$122))/MperB</f>
        <v>50.027521362059282</v>
      </c>
      <c r="H25" s="73">
        <f>Inputs!$K$216*((H10+H12)*H24+H13*MAX(0,H24-'Dilution Calcs'!$I$122))/MperB</f>
        <v>111.11559552672507</v>
      </c>
      <c r="I25" s="73">
        <f>Inputs!$K$216*((I10+I12)*I24+I13*MAX(0,I24-'Dilution Calcs'!$I$122))/MperB</f>
        <v>94.770187679857699</v>
      </c>
      <c r="J25" s="73">
        <f>Inputs!$K$216*((J10+J12)*J24+J13*MAX(0,J24-'Dilution Calcs'!$I$122))/MperB</f>
        <v>79.628623163853348</v>
      </c>
      <c r="K25" s="73">
        <f>Inputs!$K$216*((K10+K12)*K24+K13*MAX(0,K24-'Dilution Calcs'!$I$122))/MperB</f>
        <v>71.063113290884345</v>
      </c>
      <c r="L25" s="73">
        <f>Inputs!$K$216*((L10+L12)*L24+L13*MAX(0,L24-'Dilution Calcs'!$I$122))/MperB</f>
        <v>73.129004334022994</v>
      </c>
      <c r="M25" s="73">
        <f>Inputs!$K$216*((M10+M12)*M24+M13*MAX(0,M24-'Dilution Calcs'!$I$122))/MperB</f>
        <v>0</v>
      </c>
      <c r="N25" s="73">
        <f>Inputs!$K$216*((N10+N12)*N24+N13*MAX(0,N24-'Dilution Calcs'!$I$122))/MperB</f>
        <v>0</v>
      </c>
      <c r="O25" s="73">
        <f>Inputs!$K$216*((O10+O12)*O24+O13*MAX(0,O24-'Dilution Calcs'!$I$122))/MperB</f>
        <v>0</v>
      </c>
      <c r="P25" s="73">
        <f>Inputs!$K$216*((P10+P12)*P24+P13*MAX(0,P24-'Dilution Calcs'!$I$122))/MperB</f>
        <v>0</v>
      </c>
      <c r="Q25" s="73">
        <f>Inputs!$K$216*((Q10+Q12)*Q24+Q13*MAX(0,Q24-'Dilution Calcs'!$I$122))/MperB</f>
        <v>0</v>
      </c>
    </row>
    <row r="26" spans="3:17" x14ac:dyDescent="0.2">
      <c r="D26" s="7" t="s">
        <v>499</v>
      </c>
    </row>
  </sheetData>
  <pageMargins left="0.75" right="0.75" top="1" bottom="1" header="0.5" footer="0.5"/>
  <pageSetup scale="65" fitToHeight="0" orientation="landscape"/>
  <headerFooter>
    <oddFooter>&amp;C&amp;A, page &amp;P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A6A6A6"/>
    <pageSetUpPr fitToPage="1"/>
  </sheetPr>
  <dimension ref="A1:K92"/>
  <sheetViews>
    <sheetView showGridLines="0" zoomScale="85" workbookViewId="0">
      <pane xSplit="4" ySplit="4" topLeftCell="E5" activePane="bottomRight" state="frozenSplit"/>
      <selection pane="topRight" activeCell="E1" sqref="E1"/>
      <selection pane="bottomLeft" activeCell="A5" sqref="A5"/>
      <selection pane="bottomRight"/>
    </sheetView>
  </sheetViews>
  <sheetFormatPr defaultRowHeight="12.75" x14ac:dyDescent="0.2"/>
  <cols>
    <col min="1" max="1" width="1.7109375" style="10" customWidth="1"/>
    <col min="2" max="3" width="2.28515625" style="10" customWidth="1"/>
    <col min="4" max="4" width="62.7109375" style="10" customWidth="1"/>
    <col min="5" max="5" width="46.140625" style="10" customWidth="1"/>
    <col min="6" max="6" width="11.140625" style="10" customWidth="1"/>
    <col min="7" max="7" width="14.140625" style="10" customWidth="1"/>
    <col min="8" max="8" width="11" style="10" customWidth="1"/>
    <col min="9" max="9" width="15.140625" style="10" customWidth="1"/>
    <col min="10" max="10" width="9.85546875" style="10" customWidth="1"/>
    <col min="11" max="11" width="5" style="10" customWidth="1"/>
    <col min="12" max="12" width="2" style="10" customWidth="1"/>
    <col min="13" max="16384" width="9.140625" style="10"/>
  </cols>
  <sheetData>
    <row r="1" spans="1:11" ht="12.75" customHeight="1" x14ac:dyDescent="0.25">
      <c r="A1" s="218" t="s">
        <v>2148</v>
      </c>
    </row>
    <row r="2" spans="1:11" ht="12.75" customHeight="1" x14ac:dyDescent="0.2">
      <c r="A2" s="219" t="s">
        <v>31</v>
      </c>
    </row>
    <row r="3" spans="1:11" ht="12.75" customHeight="1" x14ac:dyDescent="0.2">
      <c r="A3" s="220" t="s">
        <v>2242</v>
      </c>
    </row>
    <row r="4" spans="1:11" ht="12.75" customHeight="1" x14ac:dyDescent="0.2">
      <c r="A4" s="214"/>
      <c r="B4" s="214"/>
      <c r="C4" s="214"/>
      <c r="D4" s="214"/>
      <c r="E4" s="214"/>
      <c r="F4" s="214"/>
      <c r="G4" s="214"/>
      <c r="H4" s="214"/>
      <c r="I4" s="214"/>
      <c r="J4" s="214"/>
      <c r="K4" s="214"/>
    </row>
    <row r="6" spans="1:11" x14ac:dyDescent="0.2">
      <c r="C6" s="200" t="s">
        <v>8</v>
      </c>
      <c r="D6" s="203" t="s">
        <v>2199</v>
      </c>
      <c r="E6" s="215"/>
      <c r="F6" s="215"/>
      <c r="G6" s="215"/>
      <c r="H6" s="215"/>
      <c r="I6" s="215"/>
      <c r="J6" s="215"/>
      <c r="K6" s="215"/>
    </row>
    <row r="7" spans="1:11" x14ac:dyDescent="0.2">
      <c r="D7" s="198"/>
      <c r="E7" s="198" t="s">
        <v>600</v>
      </c>
      <c r="F7" s="198" t="s">
        <v>601</v>
      </c>
      <c r="G7" s="198" t="s">
        <v>602</v>
      </c>
      <c r="H7" s="198" t="s">
        <v>603</v>
      </c>
      <c r="I7" s="198" t="s">
        <v>604</v>
      </c>
      <c r="J7" s="198" t="s">
        <v>605</v>
      </c>
    </row>
    <row r="8" spans="1:11" x14ac:dyDescent="0.2">
      <c r="D8" s="4" t="s">
        <v>606</v>
      </c>
      <c r="E8" s="19">
        <f>Inputs!$K$256</f>
        <v>1500</v>
      </c>
      <c r="F8" s="19">
        <f>Inputs!$K$256</f>
        <v>1500</v>
      </c>
      <c r="G8" s="19">
        <f>Inputs!$K$256</f>
        <v>1500</v>
      </c>
      <c r="H8" s="19">
        <f>Inputs!$K$257</f>
        <v>2000</v>
      </c>
      <c r="I8" s="19">
        <f>Inputs!$K$257</f>
        <v>2000</v>
      </c>
      <c r="J8" s="19">
        <f>Inputs!$K$257</f>
        <v>2000</v>
      </c>
      <c r="K8" s="4" t="s">
        <v>607</v>
      </c>
    </row>
    <row r="9" spans="1:11" x14ac:dyDescent="0.2">
      <c r="D9" s="4" t="s">
        <v>608</v>
      </c>
      <c r="E9" s="18">
        <f>'Filing Data'!$E$101</f>
        <v>0.1</v>
      </c>
      <c r="F9" s="18">
        <f>'Filing Data'!$F$101</f>
        <v>0.11</v>
      </c>
      <c r="G9" s="18">
        <f>'Filing Data'!$G$101</f>
        <v>0.12</v>
      </c>
      <c r="H9" s="18">
        <f>'Filing Data'!$H$101</f>
        <v>0.1</v>
      </c>
      <c r="I9" s="18">
        <f>'Filing Data'!$I$101</f>
        <v>0.11</v>
      </c>
      <c r="J9" s="18">
        <f>'Filing Data'!$J$101</f>
        <v>0.12</v>
      </c>
      <c r="K9" s="4" t="s">
        <v>2186</v>
      </c>
    </row>
    <row r="10" spans="1:11" x14ac:dyDescent="0.2">
      <c r="D10" s="4" t="s">
        <v>609</v>
      </c>
      <c r="E10" s="19">
        <f>'Filing Data'!$E$102</f>
        <v>5</v>
      </c>
      <c r="F10" s="19">
        <f>'Filing Data'!$F$102</f>
        <v>5</v>
      </c>
      <c r="G10" s="19">
        <f>'Filing Data'!$G$102</f>
        <v>5</v>
      </c>
      <c r="H10" s="19">
        <f>'Filing Data'!$H$102</f>
        <v>5</v>
      </c>
      <c r="I10" s="19">
        <f>'Filing Data'!$I$102</f>
        <v>5</v>
      </c>
      <c r="J10" s="19">
        <f>'Filing Data'!$J$102</f>
        <v>5</v>
      </c>
      <c r="K10" s="4" t="s">
        <v>610</v>
      </c>
    </row>
    <row r="11" spans="1:11" x14ac:dyDescent="0.2">
      <c r="D11" s="4" t="s">
        <v>611</v>
      </c>
      <c r="E11" s="20">
        <f>'Filing Data'!$E$103</f>
        <v>30</v>
      </c>
      <c r="F11" s="20">
        <f>'Filing Data'!$F$103</f>
        <v>27.5</v>
      </c>
      <c r="G11" s="20">
        <f>'Filing Data'!$G$103</f>
        <v>25</v>
      </c>
      <c r="H11" s="20">
        <f>'Filing Data'!$H$103</f>
        <v>30</v>
      </c>
      <c r="I11" s="20">
        <f>'Filing Data'!$I$103</f>
        <v>27.5</v>
      </c>
      <c r="J11" s="20">
        <f>'Filing Data'!$J$103</f>
        <v>25</v>
      </c>
      <c r="K11" s="4" t="s">
        <v>612</v>
      </c>
    </row>
    <row r="12" spans="1:11" x14ac:dyDescent="0.2">
      <c r="D12" s="4" t="s">
        <v>613</v>
      </c>
      <c r="E12" s="18">
        <f>'Filing Data'!$E$104</f>
        <v>0.3</v>
      </c>
      <c r="F12" s="18">
        <f>'Filing Data'!$F$104</f>
        <v>0.25</v>
      </c>
      <c r="G12" s="18">
        <f>'Filing Data'!$G$104</f>
        <v>0.2</v>
      </c>
      <c r="H12" s="18">
        <f>'Filing Data'!$H$104</f>
        <v>0.3</v>
      </c>
      <c r="I12" s="18">
        <f>'Filing Data'!$I$104</f>
        <v>0.25</v>
      </c>
      <c r="J12" s="18">
        <f>'Filing Data'!$J$104</f>
        <v>0.2</v>
      </c>
      <c r="K12" s="4" t="s">
        <v>614</v>
      </c>
    </row>
    <row r="13" spans="1:11" x14ac:dyDescent="0.2">
      <c r="D13" s="4" t="s">
        <v>615</v>
      </c>
      <c r="E13" s="18">
        <f>'Filing Data'!$E$105</f>
        <v>0</v>
      </c>
      <c r="F13" s="18">
        <f>'Filing Data'!$F$105</f>
        <v>0</v>
      </c>
      <c r="G13" s="18">
        <f>'Filing Data'!$G$105</f>
        <v>0</v>
      </c>
      <c r="H13" s="18">
        <f>'Filing Data'!$H$105</f>
        <v>0</v>
      </c>
      <c r="I13" s="18">
        <f>'Filing Data'!$I$105</f>
        <v>0</v>
      </c>
      <c r="J13" s="18">
        <f>'Filing Data'!$J$105</f>
        <v>0</v>
      </c>
      <c r="K13" s="4" t="s">
        <v>2187</v>
      </c>
    </row>
    <row r="14" spans="1:11" x14ac:dyDescent="0.2">
      <c r="D14" s="4" t="s">
        <v>616</v>
      </c>
      <c r="E14" s="14">
        <f>Inputs!$K$96</f>
        <v>67.823999999999998</v>
      </c>
      <c r="F14" s="14">
        <f>Inputs!$K$96</f>
        <v>67.823999999999998</v>
      </c>
      <c r="G14" s="14">
        <f>Inputs!$K$96</f>
        <v>67.823999999999998</v>
      </c>
      <c r="H14" s="14">
        <f>Inputs!$K$96</f>
        <v>67.823999999999998</v>
      </c>
      <c r="I14" s="14">
        <f>Inputs!$K$96</f>
        <v>67.823999999999998</v>
      </c>
      <c r="J14" s="14">
        <f>Inputs!$K$96</f>
        <v>67.823999999999998</v>
      </c>
    </row>
    <row r="15" spans="1:11" x14ac:dyDescent="0.2">
      <c r="D15" s="4" t="s">
        <v>617</v>
      </c>
      <c r="E15" s="86">
        <f t="shared" ref="E15:J15" si="0">E8*(1+E9)^E10/(1-E13)</f>
        <v>2415.7650000000008</v>
      </c>
      <c r="F15" s="86">
        <f t="shared" si="0"/>
        <v>2527.5872326500007</v>
      </c>
      <c r="G15" s="86">
        <f t="shared" si="0"/>
        <v>2643.5125248000008</v>
      </c>
      <c r="H15" s="86">
        <f t="shared" si="0"/>
        <v>3221.0200000000009</v>
      </c>
      <c r="I15" s="86">
        <f t="shared" si="0"/>
        <v>3370.116310200001</v>
      </c>
      <c r="J15" s="86">
        <f t="shared" si="0"/>
        <v>3524.683366400001</v>
      </c>
    </row>
    <row r="16" spans="1:11" x14ac:dyDescent="0.2">
      <c r="D16" s="4" t="s">
        <v>618</v>
      </c>
      <c r="E16" s="86">
        <f t="shared" ref="E16:J17" si="1">E15/E11</f>
        <v>80.525500000000022</v>
      </c>
      <c r="F16" s="86">
        <f t="shared" si="1"/>
        <v>91.912263005454577</v>
      </c>
      <c r="G16" s="86">
        <f t="shared" si="1"/>
        <v>105.74050099200004</v>
      </c>
      <c r="H16" s="86">
        <f t="shared" si="1"/>
        <v>107.36733333333336</v>
      </c>
      <c r="I16" s="86">
        <f t="shared" si="1"/>
        <v>122.54968400727276</v>
      </c>
      <c r="J16" s="86">
        <f t="shared" si="1"/>
        <v>140.98733465600003</v>
      </c>
    </row>
    <row r="17" spans="3:11" x14ac:dyDescent="0.2">
      <c r="D17" s="11" t="s">
        <v>619</v>
      </c>
      <c r="E17" s="235">
        <f t="shared" si="1"/>
        <v>268.41833333333341</v>
      </c>
      <c r="F17" s="235">
        <f t="shared" si="1"/>
        <v>367.64905202181831</v>
      </c>
      <c r="G17" s="235">
        <f t="shared" si="1"/>
        <v>528.70250496000017</v>
      </c>
      <c r="H17" s="235">
        <f t="shared" si="1"/>
        <v>357.89111111111123</v>
      </c>
      <c r="I17" s="235">
        <f t="shared" si="1"/>
        <v>490.19873602909104</v>
      </c>
      <c r="J17" s="235">
        <f t="shared" si="1"/>
        <v>704.93667328000015</v>
      </c>
    </row>
    <row r="18" spans="3:11" x14ac:dyDescent="0.2">
      <c r="D18" s="11" t="s">
        <v>620</v>
      </c>
      <c r="E18" s="240">
        <f t="shared" ref="E18:J18" si="2">(E17/E14)^(1/E10)-1</f>
        <v>0.31669672465083898</v>
      </c>
      <c r="F18" s="240">
        <f t="shared" si="2"/>
        <v>0.40220015328709557</v>
      </c>
      <c r="G18" s="240">
        <f t="shared" si="2"/>
        <v>0.50787587820592095</v>
      </c>
      <c r="H18" s="240">
        <f t="shared" si="2"/>
        <v>0.39467656218105196</v>
      </c>
      <c r="I18" s="240">
        <f t="shared" si="2"/>
        <v>0.48524383228399071</v>
      </c>
      <c r="J18" s="240">
        <f t="shared" si="2"/>
        <v>0.59717807953812674</v>
      </c>
      <c r="K18" s="4" t="s">
        <v>2200</v>
      </c>
    </row>
    <row r="20" spans="3:11" x14ac:dyDescent="0.2">
      <c r="C20" s="200" t="s">
        <v>8</v>
      </c>
      <c r="D20" s="203" t="s">
        <v>621</v>
      </c>
      <c r="E20" s="215"/>
      <c r="F20" s="215"/>
      <c r="G20" s="215"/>
      <c r="H20" s="215"/>
      <c r="I20" s="215"/>
      <c r="J20" s="215"/>
      <c r="K20" s="215"/>
    </row>
    <row r="21" spans="3:11" x14ac:dyDescent="0.2">
      <c r="D21" s="7" t="s">
        <v>818</v>
      </c>
    </row>
    <row r="22" spans="3:11" x14ac:dyDescent="0.2">
      <c r="D22" s="63" t="s">
        <v>622</v>
      </c>
      <c r="E22" s="228"/>
    </row>
    <row r="24" spans="3:11" ht="25.5" x14ac:dyDescent="0.2">
      <c r="D24" s="252" t="s">
        <v>1350</v>
      </c>
      <c r="E24" s="241">
        <v>0.157831</v>
      </c>
      <c r="F24" s="242">
        <v>0.20783099999999999</v>
      </c>
      <c r="G24" s="242">
        <v>0.25783099999999998</v>
      </c>
      <c r="H24" s="242">
        <v>0.30783100000000002</v>
      </c>
      <c r="I24" s="242">
        <v>0.35783100000000001</v>
      </c>
    </row>
    <row r="25" spans="3:11" x14ac:dyDescent="0.2">
      <c r="D25" s="11" t="s">
        <v>1346</v>
      </c>
      <c r="E25" s="243">
        <v>0.30026009067291265</v>
      </c>
      <c r="F25" s="243">
        <v>0.24320755654265047</v>
      </c>
      <c r="G25" s="243">
        <v>0.20387853174574536</v>
      </c>
      <c r="H25" s="243">
        <v>0.1752196448923517</v>
      </c>
      <c r="I25" s="243">
        <v>0.1538069829840682</v>
      </c>
    </row>
    <row r="26" spans="3:11" x14ac:dyDescent="0.2">
      <c r="D26" s="11" t="s">
        <v>1347</v>
      </c>
      <c r="E26" s="243">
        <v>0.40110318179208998</v>
      </c>
      <c r="F26" s="243">
        <v>0.32516563796487613</v>
      </c>
      <c r="G26" s="243">
        <v>0.27329511334087242</v>
      </c>
      <c r="H26" s="243">
        <v>0.23534914982815552</v>
      </c>
      <c r="I26" s="243">
        <v>0.20638745861353769</v>
      </c>
    </row>
    <row r="27" spans="3:11" x14ac:dyDescent="0.2">
      <c r="D27" s="7" t="s">
        <v>1343</v>
      </c>
    </row>
    <row r="29" spans="3:11" x14ac:dyDescent="0.2">
      <c r="D29" s="11" t="s">
        <v>623</v>
      </c>
    </row>
    <row r="30" spans="3:11" x14ac:dyDescent="0.2">
      <c r="E30" s="64" t="s">
        <v>624</v>
      </c>
      <c r="F30" s="64" t="s">
        <v>625</v>
      </c>
      <c r="G30" s="64" t="s">
        <v>626</v>
      </c>
      <c r="H30" s="64" t="s">
        <v>627</v>
      </c>
      <c r="I30" s="64" t="s">
        <v>628</v>
      </c>
      <c r="J30" s="64" t="s">
        <v>817</v>
      </c>
      <c r="K30" s="64" t="s">
        <v>1108</v>
      </c>
    </row>
    <row r="31" spans="3:11" x14ac:dyDescent="0.2">
      <c r="D31" s="7" t="s">
        <v>629</v>
      </c>
      <c r="F31" s="232">
        <f>Model!$F$99</f>
        <v>1415.584379662298</v>
      </c>
      <c r="G31" s="231">
        <f>Model!$F$102</f>
        <v>0.49243495017854366</v>
      </c>
      <c r="H31" s="232">
        <f>Model!$F$101</f>
        <v>410.53137216965064</v>
      </c>
      <c r="I31" s="231">
        <f>Model!$F$107</f>
        <v>0.43348314326933424</v>
      </c>
      <c r="J31" s="244">
        <f>Model!$F$29-Model!$F$100</f>
        <v>-8.869312104167193E-4</v>
      </c>
      <c r="K31" s="216">
        <f>Model!$H$36</f>
        <v>1.3054459028194483</v>
      </c>
    </row>
    <row r="32" spans="3:11" x14ac:dyDescent="0.2">
      <c r="E32" s="181">
        <v>1</v>
      </c>
      <c r="F32" s="10">
        <f t="dataTable" ref="F32:K41" dt2D="0" dtr="0" r1="E22" ca="1"/>
        <v>1499.9999998792787</v>
      </c>
      <c r="G32" s="10">
        <v>0.61102740522565391</v>
      </c>
      <c r="H32" s="10">
        <v>601.70543970883716</v>
      </c>
      <c r="I32" s="10">
        <v>0.54739114656865473</v>
      </c>
      <c r="J32" s="10">
        <v>-4.9049833103242975</v>
      </c>
      <c r="K32" s="216">
        <v>1.6572785910442511</v>
      </c>
    </row>
    <row r="33" spans="4:11" x14ac:dyDescent="0.2">
      <c r="E33" s="181">
        <v>2</v>
      </c>
      <c r="F33" s="10">
        <v>1499.9999999943316</v>
      </c>
      <c r="G33" s="10">
        <v>0.55299547822369388</v>
      </c>
      <c r="H33" s="10">
        <v>500.86450156572607</v>
      </c>
      <c r="I33" s="10">
        <v>0.49165150503935817</v>
      </c>
      <c r="J33" s="10">
        <v>-4.9049833170082593</v>
      </c>
      <c r="K33" s="216">
        <v>1.4716930730569362</v>
      </c>
    </row>
    <row r="34" spans="4:11" x14ac:dyDescent="0.2">
      <c r="E34" s="181">
        <v>3</v>
      </c>
      <c r="F34" s="10">
        <v>1499.9999999998633</v>
      </c>
      <c r="G34" s="10">
        <v>0.5072736634164563</v>
      </c>
      <c r="H34" s="10">
        <v>431.35004761143728</v>
      </c>
      <c r="I34" s="10">
        <v>0.44773572110651938</v>
      </c>
      <c r="J34" s="10">
        <v>-4.9049833173296236</v>
      </c>
      <c r="K34" s="216">
        <v>1.3437601503544179</v>
      </c>
    </row>
    <row r="35" spans="4:11" x14ac:dyDescent="0.2">
      <c r="E35" s="181">
        <v>4</v>
      </c>
      <c r="F35" s="10">
        <v>1499.9999999546133</v>
      </c>
      <c r="G35" s="10">
        <v>0.47008218433692273</v>
      </c>
      <c r="H35" s="10">
        <v>380.69517170644986</v>
      </c>
      <c r="I35" s="10">
        <v>0.41201332105994637</v>
      </c>
      <c r="J35" s="10">
        <v>-4.9049833147008286</v>
      </c>
      <c r="K35" s="216">
        <v>1.250535994009613</v>
      </c>
    </row>
    <row r="36" spans="4:11" x14ac:dyDescent="0.2">
      <c r="E36" s="181">
        <v>5</v>
      </c>
      <c r="F36" s="10">
        <v>1500.0000000043938</v>
      </c>
      <c r="G36" s="10">
        <v>0.43961539801238159</v>
      </c>
      <c r="H36" s="10">
        <v>342.84807257422671</v>
      </c>
      <c r="I36" s="10">
        <v>0.38274998558217987</v>
      </c>
      <c r="J36" s="10">
        <v>-4.9049833175928086</v>
      </c>
      <c r="K36" s="216">
        <v>1.1808829976560609</v>
      </c>
    </row>
    <row r="37" spans="4:11" x14ac:dyDescent="0.2">
      <c r="E37" s="181">
        <v>6</v>
      </c>
      <c r="F37" s="10">
        <v>1999.9999999626182</v>
      </c>
      <c r="G37" s="10">
        <v>0.69683306559485625</v>
      </c>
      <c r="H37" s="10">
        <v>779.94663562996834</v>
      </c>
      <c r="I37" s="10">
        <v>0.62980744734051131</v>
      </c>
      <c r="J37" s="10">
        <v>-33.952311087611733</v>
      </c>
      <c r="K37" s="216">
        <v>1.9853098973849028</v>
      </c>
    </row>
    <row r="38" spans="4:11" x14ac:dyDescent="0.2">
      <c r="E38" s="181">
        <v>7</v>
      </c>
      <c r="F38" s="10">
        <v>1999.9999999999955</v>
      </c>
      <c r="G38" s="10">
        <v>0.63393896257488391</v>
      </c>
      <c r="H38" s="10">
        <v>645.72624951467287</v>
      </c>
      <c r="I38" s="10">
        <v>0.56939768778657585</v>
      </c>
      <c r="J38" s="10">
        <v>-33.952311089783137</v>
      </c>
      <c r="K38" s="216">
        <v>1.7382935532260091</v>
      </c>
    </row>
    <row r="39" spans="4:11" x14ac:dyDescent="0.2">
      <c r="E39" s="181">
        <v>8</v>
      </c>
      <c r="F39" s="10">
        <v>1999.999999999804</v>
      </c>
      <c r="G39" s="10">
        <v>0.5846562968559037</v>
      </c>
      <c r="H39" s="10">
        <v>554.0445662240196</v>
      </c>
      <c r="I39" s="10">
        <v>0.52206170804750296</v>
      </c>
      <c r="J39" s="10">
        <v>-33.952311089772024</v>
      </c>
      <c r="K39" s="216">
        <v>1.5695645330804617</v>
      </c>
    </row>
    <row r="40" spans="4:11" x14ac:dyDescent="0.2">
      <c r="E40" s="181">
        <v>9</v>
      </c>
      <c r="F40" s="10">
        <v>1999.9999999991367</v>
      </c>
      <c r="G40" s="10">
        <v>0.54428487602148201</v>
      </c>
      <c r="H40" s="10">
        <v>486.97468724844299</v>
      </c>
      <c r="I40" s="10">
        <v>0.48328497527998615</v>
      </c>
      <c r="J40" s="10">
        <v>-33.952311089733257</v>
      </c>
      <c r="K40" s="216">
        <v>1.446130554180304</v>
      </c>
    </row>
    <row r="41" spans="4:11" x14ac:dyDescent="0.2">
      <c r="E41" s="181">
        <v>10</v>
      </c>
      <c r="F41" s="10">
        <v>1999.9999999997967</v>
      </c>
      <c r="G41" s="10">
        <v>0.51036014412618802</v>
      </c>
      <c r="H41" s="10">
        <v>435.78460153507166</v>
      </c>
      <c r="I41" s="10">
        <v>0.4507002845328163</v>
      </c>
      <c r="J41" s="10">
        <v>-33.952311089771612</v>
      </c>
      <c r="K41" s="216">
        <v>1.3519214090863869</v>
      </c>
    </row>
    <row r="43" spans="4:11" x14ac:dyDescent="0.2">
      <c r="D43" s="63" t="s">
        <v>630</v>
      </c>
      <c r="E43" s="86">
        <f>F32</f>
        <v>1499.9999998792787</v>
      </c>
      <c r="F43" s="86">
        <f>F33</f>
        <v>1499.9999999943316</v>
      </c>
      <c r="G43" s="86">
        <f>F34</f>
        <v>1499.9999999998633</v>
      </c>
      <c r="H43" s="86">
        <f>F35</f>
        <v>1499.9999999546133</v>
      </c>
      <c r="I43" s="86">
        <f>F36</f>
        <v>1500.0000000043938</v>
      </c>
    </row>
    <row r="44" spans="4:11" x14ac:dyDescent="0.2">
      <c r="D44" s="63" t="s">
        <v>631</v>
      </c>
      <c r="E44" s="73">
        <f>E43-Inputs!$K$256</f>
        <v>-1.2072132449247874E-7</v>
      </c>
      <c r="F44" s="73">
        <f>F43-Inputs!$K$256</f>
        <v>-5.6684257287997752E-9</v>
      </c>
      <c r="G44" s="73">
        <f>G43-Inputs!$K$256</f>
        <v>-1.3665157894138247E-10</v>
      </c>
      <c r="H44" s="73">
        <f>H43-Inputs!$K$256</f>
        <v>-4.5386741476249881E-8</v>
      </c>
      <c r="I44" s="73">
        <f>I43-Inputs!$K$256</f>
        <v>4.3937689042650163E-9</v>
      </c>
    </row>
    <row r="45" spans="4:11" x14ac:dyDescent="0.2">
      <c r="D45" s="63" t="s">
        <v>632</v>
      </c>
      <c r="E45" s="75">
        <f>G32</f>
        <v>0.61102740522565391</v>
      </c>
      <c r="F45" s="75">
        <f>G33</f>
        <v>0.55299547822369388</v>
      </c>
      <c r="G45" s="75">
        <f>G34</f>
        <v>0.5072736634164563</v>
      </c>
      <c r="H45" s="75">
        <f>G35</f>
        <v>0.47008218433692273</v>
      </c>
      <c r="I45" s="75">
        <f>G36</f>
        <v>0.43961539801238159</v>
      </c>
    </row>
    <row r="46" spans="4:11" x14ac:dyDescent="0.2">
      <c r="D46" s="11" t="s">
        <v>633</v>
      </c>
      <c r="E46" s="170">
        <f>H32</f>
        <v>601.70543970883716</v>
      </c>
      <c r="F46" s="170">
        <f>H33</f>
        <v>500.86450156572607</v>
      </c>
      <c r="G46" s="170">
        <f>H34</f>
        <v>431.35004761143728</v>
      </c>
      <c r="H46" s="170">
        <f>H35</f>
        <v>380.69517170644986</v>
      </c>
      <c r="I46" s="170">
        <f>H36</f>
        <v>342.84807257422671</v>
      </c>
    </row>
    <row r="47" spans="4:11" x14ac:dyDescent="0.2">
      <c r="D47" s="63" t="s">
        <v>2201</v>
      </c>
      <c r="E47" s="75">
        <f>I32</f>
        <v>0.54739114656865473</v>
      </c>
      <c r="F47" s="75">
        <f>I33</f>
        <v>0.49165150503935817</v>
      </c>
      <c r="G47" s="75">
        <f>I34</f>
        <v>0.44773572110651938</v>
      </c>
      <c r="H47" s="75">
        <f>I35</f>
        <v>0.41201332105994637</v>
      </c>
      <c r="I47" s="75">
        <f>I36</f>
        <v>0.38274998558217987</v>
      </c>
    </row>
    <row r="48" spans="4:11" x14ac:dyDescent="0.2">
      <c r="D48" s="63" t="s">
        <v>1109</v>
      </c>
      <c r="E48" s="75">
        <f>K32</f>
        <v>1.6572785910442511</v>
      </c>
      <c r="F48" s="75">
        <f>K33</f>
        <v>1.4716930730569362</v>
      </c>
      <c r="G48" s="75">
        <f>K34</f>
        <v>1.3437601503544179</v>
      </c>
      <c r="H48" s="75">
        <f>K35</f>
        <v>1.250535994009613</v>
      </c>
      <c r="I48" s="75">
        <f>K36</f>
        <v>1.1808829976560609</v>
      </c>
    </row>
    <row r="49" spans="3:11" x14ac:dyDescent="0.2">
      <c r="D49" s="63" t="s">
        <v>634</v>
      </c>
      <c r="E49" s="86">
        <f>F37</f>
        <v>1999.9999999626182</v>
      </c>
      <c r="F49" s="86">
        <f>F38</f>
        <v>1999.9999999999955</v>
      </c>
      <c r="G49" s="86">
        <f>F39</f>
        <v>1999.999999999804</v>
      </c>
      <c r="H49" s="86">
        <f>F40</f>
        <v>1999.9999999991367</v>
      </c>
      <c r="I49" s="86">
        <f>F41</f>
        <v>1999.9999999997967</v>
      </c>
    </row>
    <row r="50" spans="3:11" x14ac:dyDescent="0.2">
      <c r="D50" s="63" t="s">
        <v>635</v>
      </c>
      <c r="E50" s="73">
        <f>E49-Inputs!$K$257</f>
        <v>-3.7381823858595453E-8</v>
      </c>
      <c r="F50" s="73">
        <f>F49-Inputs!$K$257</f>
        <v>-4.5474735088646412E-12</v>
      </c>
      <c r="G50" s="73">
        <f>G49-Inputs!$K$257</f>
        <v>-1.9599610823206604E-10</v>
      </c>
      <c r="H50" s="73">
        <f>H49-Inputs!$K$257</f>
        <v>-8.6333784565795213E-10</v>
      </c>
      <c r="I50" s="73">
        <f>I49-Inputs!$K$257</f>
        <v>-2.0327206584624946E-10</v>
      </c>
    </row>
    <row r="51" spans="3:11" x14ac:dyDescent="0.2">
      <c r="D51" s="63" t="s">
        <v>636</v>
      </c>
      <c r="E51" s="75">
        <f>G37</f>
        <v>0.69683306559485625</v>
      </c>
      <c r="F51" s="75">
        <f>G38</f>
        <v>0.63393896257488391</v>
      </c>
      <c r="G51" s="75">
        <f>G39</f>
        <v>0.5846562968559037</v>
      </c>
      <c r="H51" s="75">
        <f>G40</f>
        <v>0.54428487602148201</v>
      </c>
      <c r="I51" s="75">
        <f>G41</f>
        <v>0.51036014412618802</v>
      </c>
    </row>
    <row r="52" spans="3:11" x14ac:dyDescent="0.2">
      <c r="D52" s="11" t="s">
        <v>637</v>
      </c>
      <c r="E52" s="170">
        <f>H37</f>
        <v>779.94663562996834</v>
      </c>
      <c r="F52" s="170">
        <f>H38</f>
        <v>645.72624951467287</v>
      </c>
      <c r="G52" s="170">
        <f>H39</f>
        <v>554.0445662240196</v>
      </c>
      <c r="H52" s="170">
        <f>H40</f>
        <v>486.97468724844299</v>
      </c>
      <c r="I52" s="170">
        <f>H41</f>
        <v>435.78460153507166</v>
      </c>
    </row>
    <row r="53" spans="3:11" x14ac:dyDescent="0.2">
      <c r="D53" s="63" t="s">
        <v>2202</v>
      </c>
      <c r="E53" s="75">
        <f>I37</f>
        <v>0.62980744734051131</v>
      </c>
      <c r="F53" s="75">
        <f>I38</f>
        <v>0.56939768778657585</v>
      </c>
      <c r="G53" s="75">
        <f>I39</f>
        <v>0.52206170804750296</v>
      </c>
      <c r="H53" s="75">
        <f>I40</f>
        <v>0.48328497527998615</v>
      </c>
      <c r="I53" s="75">
        <f>I41</f>
        <v>0.4507002845328163</v>
      </c>
    </row>
    <row r="54" spans="3:11" x14ac:dyDescent="0.2">
      <c r="D54" s="63" t="s">
        <v>1110</v>
      </c>
      <c r="E54" s="75">
        <f>K37</f>
        <v>1.9853098973849028</v>
      </c>
      <c r="F54" s="75">
        <f>K38</f>
        <v>1.7382935532260091</v>
      </c>
      <c r="G54" s="75">
        <f>K39</f>
        <v>1.5695645330804617</v>
      </c>
      <c r="H54" s="75">
        <f>K40</f>
        <v>1.446130554180304</v>
      </c>
      <c r="I54" s="75">
        <f>K41</f>
        <v>1.3519214090863869</v>
      </c>
    </row>
    <row r="55" spans="3:11" x14ac:dyDescent="0.2">
      <c r="D55" s="11" t="s">
        <v>638</v>
      </c>
      <c r="E55" s="18">
        <f>Model!$H$36</f>
        <v>1.3054459028194483</v>
      </c>
      <c r="F55" s="18">
        <f>Model!$F$102</f>
        <v>0.49243495017854366</v>
      </c>
      <c r="G55" s="19">
        <f>Model!$F$101</f>
        <v>410.53137216965064</v>
      </c>
    </row>
    <row r="57" spans="3:11" x14ac:dyDescent="0.2">
      <c r="C57" s="200" t="s">
        <v>8</v>
      </c>
      <c r="D57" s="203" t="s">
        <v>2203</v>
      </c>
      <c r="E57" s="215"/>
      <c r="F57" s="215"/>
      <c r="G57" s="215"/>
      <c r="H57" s="215"/>
      <c r="I57" s="215"/>
      <c r="J57" s="215"/>
      <c r="K57" s="215"/>
    </row>
    <row r="58" spans="3:11" x14ac:dyDescent="0.2">
      <c r="D58" s="4" t="s">
        <v>639</v>
      </c>
      <c r="E58" s="14">
        <f>'Filing Data'!$I$108</f>
        <v>1468.8</v>
      </c>
      <c r="K58" s="4" t="s">
        <v>2189</v>
      </c>
    </row>
    <row r="59" spans="3:11" x14ac:dyDescent="0.2">
      <c r="D59" s="4" t="s">
        <v>640</v>
      </c>
      <c r="E59" s="14">
        <f>'Filing Data'!$I$109</f>
        <v>363</v>
      </c>
      <c r="K59" s="4" t="s">
        <v>641</v>
      </c>
    </row>
    <row r="60" spans="3:11" x14ac:dyDescent="0.2">
      <c r="D60" s="4" t="s">
        <v>642</v>
      </c>
      <c r="E60" s="14">
        <f>'Filing Data'!$I$110</f>
        <v>100</v>
      </c>
      <c r="K60" s="4" t="s">
        <v>643</v>
      </c>
    </row>
    <row r="61" spans="3:11" x14ac:dyDescent="0.2">
      <c r="D61" s="4" t="s">
        <v>644</v>
      </c>
      <c r="E61" s="14">
        <v>19.3</v>
      </c>
      <c r="K61" s="4" t="s">
        <v>2142</v>
      </c>
    </row>
    <row r="62" spans="3:11" x14ac:dyDescent="0.2">
      <c r="D62" s="4" t="s">
        <v>645</v>
      </c>
      <c r="E62" s="73">
        <f>Historicals!G65/MperB</f>
        <v>108.566</v>
      </c>
      <c r="K62" s="4" t="s">
        <v>646</v>
      </c>
    </row>
    <row r="63" spans="3:11" x14ac:dyDescent="0.2">
      <c r="D63" s="4" t="s">
        <v>647</v>
      </c>
      <c r="E63" s="14">
        <f>'Filing Data'!$I$111</f>
        <v>90.8</v>
      </c>
      <c r="K63" s="4" t="s">
        <v>648</v>
      </c>
    </row>
    <row r="64" spans="3:11" x14ac:dyDescent="0.2">
      <c r="D64" s="4" t="s">
        <v>649</v>
      </c>
      <c r="E64" s="14">
        <f>'Filing Data'!$I$112</f>
        <v>412</v>
      </c>
      <c r="K64" s="4" t="s">
        <v>650</v>
      </c>
    </row>
    <row r="65" spans="4:11" x14ac:dyDescent="0.2">
      <c r="D65" s="4" t="s">
        <v>651</v>
      </c>
      <c r="E65" s="18">
        <f>'Filing Data'!$I$113</f>
        <v>0.27500000000000002</v>
      </c>
      <c r="K65" s="4"/>
    </row>
    <row r="66" spans="4:11" x14ac:dyDescent="0.2">
      <c r="D66" s="4" t="s">
        <v>652</v>
      </c>
      <c r="E66" s="18">
        <f>'Filing Data'!$I$114</f>
        <v>9.74E-2</v>
      </c>
      <c r="K66" s="4"/>
    </row>
    <row r="67" spans="4:11" x14ac:dyDescent="0.2">
      <c r="D67" s="4" t="s">
        <v>653</v>
      </c>
      <c r="E67" s="14">
        <f>'Filing Data'!$I$115</f>
        <v>1010.6</v>
      </c>
      <c r="K67" s="4"/>
    </row>
    <row r="68" spans="4:11" x14ac:dyDescent="0.2">
      <c r="D68" s="4" t="s">
        <v>840</v>
      </c>
      <c r="E68" s="18">
        <f>'Filing Data'!$I$116</f>
        <v>0.1</v>
      </c>
      <c r="K68" s="4" t="s">
        <v>2190</v>
      </c>
    </row>
    <row r="69" spans="4:11" x14ac:dyDescent="0.2">
      <c r="D69" s="4" t="s">
        <v>841</v>
      </c>
      <c r="E69" s="18">
        <f>'Filing Data'!$I$117</f>
        <v>0.5</v>
      </c>
      <c r="K69" s="4" t="s">
        <v>2190</v>
      </c>
    </row>
    <row r="71" spans="4:11" x14ac:dyDescent="0.2">
      <c r="D71" s="11" t="s">
        <v>654</v>
      </c>
    </row>
    <row r="72" spans="4:11" x14ac:dyDescent="0.2">
      <c r="D72" s="63" t="s">
        <v>655</v>
      </c>
      <c r="E72" s="73">
        <f>E58</f>
        <v>1468.8</v>
      </c>
    </row>
    <row r="73" spans="4:11" x14ac:dyDescent="0.2">
      <c r="D73" s="63" t="s">
        <v>656</v>
      </c>
      <c r="E73" s="73">
        <f>-E60</f>
        <v>-100</v>
      </c>
    </row>
    <row r="74" spans="4:11" x14ac:dyDescent="0.2">
      <c r="D74" s="63" t="s">
        <v>657</v>
      </c>
      <c r="E74" s="73">
        <f>E61</f>
        <v>19.3</v>
      </c>
    </row>
    <row r="75" spans="4:11" x14ac:dyDescent="0.2">
      <c r="D75" s="63" t="s">
        <v>658</v>
      </c>
      <c r="E75" s="73">
        <f>E62</f>
        <v>108.566</v>
      </c>
    </row>
    <row r="76" spans="4:11" x14ac:dyDescent="0.2">
      <c r="D76" s="11" t="s">
        <v>659</v>
      </c>
      <c r="E76" s="170">
        <f>SUM(E72:E75)</f>
        <v>1496.6659999999999</v>
      </c>
    </row>
    <row r="77" spans="4:11" x14ac:dyDescent="0.2">
      <c r="D77" s="63" t="s">
        <v>660</v>
      </c>
      <c r="E77" s="73">
        <f>E59</f>
        <v>363</v>
      </c>
      <c r="K77" s="4" t="s">
        <v>2204</v>
      </c>
    </row>
    <row r="78" spans="4:11" x14ac:dyDescent="0.2">
      <c r="D78" s="11" t="s">
        <v>661</v>
      </c>
      <c r="E78" s="170">
        <f>E76+E77</f>
        <v>1859.6659999999999</v>
      </c>
    </row>
    <row r="79" spans="4:11" x14ac:dyDescent="0.2">
      <c r="D79" s="11" t="s">
        <v>662</v>
      </c>
      <c r="E79" s="169">
        <f>Model!$F$99</f>
        <v>1415.584379662298</v>
      </c>
    </row>
    <row r="80" spans="4:11" x14ac:dyDescent="0.2">
      <c r="D80" s="4" t="s">
        <v>663</v>
      </c>
      <c r="E80" s="73">
        <f>E79-E76</f>
        <v>-81.081620337701906</v>
      </c>
    </row>
    <row r="81" spans="4:6" x14ac:dyDescent="0.2">
      <c r="D81" s="4" t="s">
        <v>664</v>
      </c>
      <c r="E81" s="73">
        <f>E79-E78</f>
        <v>-444.08162033770191</v>
      </c>
    </row>
    <row r="83" spans="4:6" x14ac:dyDescent="0.2">
      <c r="D83" s="11" t="s">
        <v>665</v>
      </c>
      <c r="E83" s="11" t="s">
        <v>666</v>
      </c>
      <c r="F83" s="11" t="s">
        <v>667</v>
      </c>
    </row>
    <row r="84" spans="4:6" x14ac:dyDescent="0.2">
      <c r="D84" s="63" t="s">
        <v>668</v>
      </c>
      <c r="E84" s="86">
        <f>E64</f>
        <v>412</v>
      </c>
      <c r="F84" s="19">
        <f>Model!$F$101</f>
        <v>410.53137216965064</v>
      </c>
    </row>
    <row r="85" spans="4:6" x14ac:dyDescent="0.2">
      <c r="D85" s="63" t="s">
        <v>669</v>
      </c>
      <c r="E85" s="86">
        <f>E67</f>
        <v>1010.6</v>
      </c>
      <c r="F85" s="19">
        <f>Model!$F$103</f>
        <v>737.80325502079654</v>
      </c>
    </row>
    <row r="86" spans="4:6" x14ac:dyDescent="0.2">
      <c r="D86" s="63" t="s">
        <v>670</v>
      </c>
      <c r="E86" s="75">
        <f>(E64/Inputs!$K$96)^(1/CAGRyrs)-1</f>
        <v>0.43450730235312518</v>
      </c>
      <c r="F86" s="18">
        <f>Model!$F$107</f>
        <v>0.43348314326933424</v>
      </c>
    </row>
    <row r="87" spans="4:6" x14ac:dyDescent="0.2">
      <c r="D87" s="63" t="s">
        <v>671</v>
      </c>
      <c r="E87" s="75">
        <f>E65</f>
        <v>0.27500000000000002</v>
      </c>
      <c r="F87" s="18">
        <f>Model!$F$104</f>
        <v>0.25783147702839776</v>
      </c>
    </row>
    <row r="88" spans="4:6" x14ac:dyDescent="0.2">
      <c r="D88" s="63" t="s">
        <v>672</v>
      </c>
      <c r="E88" s="75">
        <f>E66</f>
        <v>9.74E-2</v>
      </c>
      <c r="F88" s="18">
        <f>DCF!E10</f>
        <v>9.69E-2</v>
      </c>
    </row>
    <row r="89" spans="4:6" x14ac:dyDescent="0.2">
      <c r="D89" s="63" t="s">
        <v>673</v>
      </c>
      <c r="E89" s="75">
        <f>E68*E69</f>
        <v>0.05</v>
      </c>
      <c r="F89" s="75">
        <f>Inputs!$K$188*(1-Inputs!$K$189)</f>
        <v>0</v>
      </c>
    </row>
    <row r="90" spans="4:6" x14ac:dyDescent="0.2">
      <c r="D90" s="63" t="s">
        <v>674</v>
      </c>
      <c r="E90" s="4" t="s">
        <v>675</v>
      </c>
      <c r="F90" s="4" t="s">
        <v>676</v>
      </c>
    </row>
    <row r="92" spans="4:6" x14ac:dyDescent="0.2">
      <c r="D92" s="7" t="s">
        <v>677</v>
      </c>
    </row>
  </sheetData>
  <pageMargins left="0.75" right="0.75" top="1" bottom="1" header="0.5" footer="0.5"/>
  <pageSetup scale="66" fitToHeight="0" orientation="landscape"/>
  <headerFooter>
    <oddFooter>&amp;C&amp;A, page &amp;P of &amp;N</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A6A6A6"/>
    <pageSetUpPr fitToPage="1"/>
  </sheetPr>
  <dimension ref="A1:S72"/>
  <sheetViews>
    <sheetView showGridLines="0" zoomScale="85" workbookViewId="0">
      <pane xSplit="4" ySplit="6" topLeftCell="E7" activePane="bottomRight" state="frozenSplit"/>
      <selection pane="topRight" activeCell="E1" sqref="E1"/>
      <selection pane="bottomLeft" activeCell="A7" sqref="A7"/>
      <selection pane="bottomRight"/>
    </sheetView>
  </sheetViews>
  <sheetFormatPr defaultRowHeight="12.75" x14ac:dyDescent="0.2"/>
  <cols>
    <col min="1" max="1" width="1.7109375" style="10" customWidth="1"/>
    <col min="2" max="3" width="2.28515625" style="10" customWidth="1"/>
    <col min="4" max="4" width="51.85546875" style="10" customWidth="1"/>
    <col min="5" max="5" width="14" style="10" customWidth="1"/>
    <col min="6" max="6" width="12" style="10" customWidth="1"/>
    <col min="7" max="9" width="12.140625" style="10" customWidth="1"/>
    <col min="10" max="10" width="12.7109375" style="10" customWidth="1"/>
    <col min="11" max="12" width="12" style="10" customWidth="1"/>
    <col min="13" max="16" width="12.140625" style="10" customWidth="1"/>
    <col min="17" max="17" width="12.7109375" style="10" customWidth="1"/>
    <col min="18" max="18" width="2" style="10" customWidth="1"/>
    <col min="19" max="19" width="5" style="10" customWidth="1"/>
    <col min="20" max="20" width="2" style="10" customWidth="1"/>
    <col min="21" max="16384" width="9.140625" style="10"/>
  </cols>
  <sheetData>
    <row r="1" spans="1:19" ht="12.75" customHeight="1" x14ac:dyDescent="0.25">
      <c r="A1" s="218" t="s">
        <v>2148</v>
      </c>
    </row>
    <row r="2" spans="1:19" ht="12.75" customHeight="1" x14ac:dyDescent="0.2">
      <c r="A2" s="219" t="s">
        <v>33</v>
      </c>
    </row>
    <row r="3" spans="1:19" ht="12.75" customHeight="1" x14ac:dyDescent="0.2">
      <c r="A3" s="220" t="s">
        <v>732</v>
      </c>
    </row>
    <row r="4" spans="1:19" ht="12.75" customHeight="1" x14ac:dyDescent="0.2">
      <c r="A4" s="214"/>
      <c r="B4" s="214"/>
      <c r="C4" s="214"/>
      <c r="D4" s="214"/>
      <c r="E4" s="214"/>
      <c r="F4" s="214"/>
      <c r="G4" s="214"/>
      <c r="H4" s="214"/>
      <c r="I4" s="214"/>
      <c r="J4" s="214"/>
      <c r="K4" s="214"/>
      <c r="L4" s="214"/>
      <c r="M4" s="214"/>
      <c r="N4" s="214"/>
      <c r="O4" s="214"/>
      <c r="P4" s="214"/>
      <c r="Q4" s="214"/>
      <c r="R4" s="214"/>
      <c r="S4" s="214"/>
    </row>
    <row r="5" spans="1:19" ht="12.75" customHeight="1" x14ac:dyDescent="0.2"/>
    <row r="6" spans="1:19" ht="12.75" customHeight="1" x14ac:dyDescent="0.2">
      <c r="D6" s="198" t="s">
        <v>733</v>
      </c>
      <c r="E6" s="199" t="s">
        <v>734</v>
      </c>
      <c r="F6" s="199" t="s">
        <v>735</v>
      </c>
      <c r="G6" s="199" t="s">
        <v>736</v>
      </c>
      <c r="H6" s="199" t="s">
        <v>737</v>
      </c>
      <c r="I6" s="199" t="s">
        <v>738</v>
      </c>
      <c r="J6" s="199" t="s">
        <v>987</v>
      </c>
      <c r="K6" s="199" t="s">
        <v>739</v>
      </c>
      <c r="L6" s="199" t="s">
        <v>740</v>
      </c>
      <c r="M6" s="199" t="s">
        <v>741</v>
      </c>
      <c r="N6" s="199" t="s">
        <v>742</v>
      </c>
      <c r="O6" s="199" t="s">
        <v>743</v>
      </c>
      <c r="P6" s="199" t="s">
        <v>744</v>
      </c>
      <c r="Q6" s="199" t="s">
        <v>983</v>
      </c>
      <c r="S6" s="198" t="s">
        <v>40</v>
      </c>
    </row>
    <row r="7" spans="1:19" ht="12.75" customHeight="1" x14ac:dyDescent="0.2">
      <c r="D7" s="4" t="s">
        <v>180</v>
      </c>
      <c r="E7" s="181">
        <v>41</v>
      </c>
      <c r="F7" s="181">
        <v>386</v>
      </c>
      <c r="G7" s="181">
        <v>4585</v>
      </c>
      <c r="H7" s="181">
        <v>1163</v>
      </c>
      <c r="I7" s="245">
        <v>16286</v>
      </c>
      <c r="J7" s="8">
        <v>33242</v>
      </c>
      <c r="K7" s="246">
        <v>376</v>
      </c>
      <c r="L7" s="181">
        <v>787</v>
      </c>
      <c r="M7" s="181">
        <v>1382</v>
      </c>
      <c r="N7" s="181">
        <v>2040</v>
      </c>
      <c r="O7" s="181">
        <v>4731</v>
      </c>
      <c r="P7" s="245">
        <v>11555</v>
      </c>
      <c r="Q7" s="77">
        <v>16956</v>
      </c>
      <c r="S7" s="4" t="s">
        <v>1077</v>
      </c>
    </row>
    <row r="8" spans="1:19" ht="12.75" customHeight="1" x14ac:dyDescent="0.2">
      <c r="D8" s="63" t="s">
        <v>745</v>
      </c>
      <c r="E8" s="181">
        <v>39</v>
      </c>
      <c r="F8" s="181">
        <v>288</v>
      </c>
      <c r="G8" s="181">
        <v>3796</v>
      </c>
      <c r="H8" s="181">
        <v>983</v>
      </c>
      <c r="I8" s="245">
        <v>13064</v>
      </c>
      <c r="J8" s="8">
        <v>26306</v>
      </c>
      <c r="S8" s="4" t="s">
        <v>746</v>
      </c>
    </row>
    <row r="9" spans="1:19" ht="12.75" customHeight="1" x14ac:dyDescent="0.2">
      <c r="D9" s="63" t="s">
        <v>747</v>
      </c>
      <c r="E9" s="181">
        <v>2</v>
      </c>
      <c r="F9" s="181">
        <v>98</v>
      </c>
      <c r="G9" s="181">
        <v>789</v>
      </c>
      <c r="H9" s="181">
        <v>180</v>
      </c>
      <c r="I9" s="245">
        <v>3222</v>
      </c>
      <c r="J9" s="8">
        <v>6936</v>
      </c>
      <c r="S9" s="4" t="s">
        <v>746</v>
      </c>
    </row>
    <row r="10" spans="1:19" ht="12.75" customHeight="1" x14ac:dyDescent="0.2">
      <c r="D10" s="4" t="s">
        <v>748</v>
      </c>
      <c r="E10" s="181">
        <v>433</v>
      </c>
      <c r="F10" s="181">
        <v>2522</v>
      </c>
      <c r="G10" s="181">
        <v>7326</v>
      </c>
      <c r="H10" s="181">
        <v>2334</v>
      </c>
      <c r="I10" s="245">
        <v>8945</v>
      </c>
      <c r="J10" s="8">
        <v>18808</v>
      </c>
      <c r="K10" s="246">
        <v>944</v>
      </c>
      <c r="L10" s="181">
        <v>1390</v>
      </c>
      <c r="M10" s="181">
        <v>2047</v>
      </c>
      <c r="N10" s="181">
        <v>2945</v>
      </c>
      <c r="O10" s="181">
        <v>3387</v>
      </c>
      <c r="P10" s="245">
        <v>5558</v>
      </c>
      <c r="Q10" s="79">
        <v>9863</v>
      </c>
      <c r="S10" s="4" t="s">
        <v>1077</v>
      </c>
    </row>
    <row r="11" spans="1:19" ht="12.75" customHeight="1" x14ac:dyDescent="0.2">
      <c r="D11" s="4" t="s">
        <v>749</v>
      </c>
      <c r="E11" s="181">
        <v>95</v>
      </c>
      <c r="F11" s="181">
        <v>454</v>
      </c>
      <c r="G11" s="181">
        <v>1839</v>
      </c>
      <c r="H11" s="181">
        <v>538</v>
      </c>
      <c r="I11" s="245">
        <v>3152</v>
      </c>
      <c r="J11" s="8">
        <v>4863</v>
      </c>
      <c r="K11" s="246">
        <v>218</v>
      </c>
      <c r="L11" s="181">
        <v>320</v>
      </c>
      <c r="M11" s="181">
        <v>489</v>
      </c>
      <c r="N11" s="181">
        <v>812</v>
      </c>
      <c r="O11" s="181">
        <v>1295</v>
      </c>
      <c r="P11" s="245">
        <v>1857</v>
      </c>
      <c r="Q11" s="79">
        <v>1711</v>
      </c>
      <c r="S11" s="4" t="s">
        <v>1077</v>
      </c>
    </row>
    <row r="12" spans="1:19" ht="12.75" customHeight="1" x14ac:dyDescent="0.2">
      <c r="D12" s="4" t="s">
        <v>750</v>
      </c>
      <c r="E12" s="181">
        <v>0</v>
      </c>
      <c r="F12" s="181">
        <v>0</v>
      </c>
      <c r="G12" s="181">
        <v>1500</v>
      </c>
      <c r="H12" s="181">
        <v>0</v>
      </c>
      <c r="I12" s="245">
        <v>0</v>
      </c>
      <c r="J12" s="8">
        <v>0</v>
      </c>
      <c r="K12" s="246">
        <v>0</v>
      </c>
      <c r="L12" s="181">
        <v>0</v>
      </c>
      <c r="M12" s="181">
        <v>1500</v>
      </c>
      <c r="N12" s="181">
        <v>0</v>
      </c>
      <c r="O12" s="181">
        <v>0</v>
      </c>
      <c r="P12" s="245">
        <v>0</v>
      </c>
      <c r="Q12" s="79">
        <v>0</v>
      </c>
      <c r="S12" s="4" t="s">
        <v>1077</v>
      </c>
    </row>
    <row r="13" spans="1:19" ht="12.75" customHeight="1" x14ac:dyDescent="0.2">
      <c r="D13" s="4" t="s">
        <v>751</v>
      </c>
      <c r="E13" s="181">
        <v>2</v>
      </c>
      <c r="F13" s="181">
        <v>43</v>
      </c>
      <c r="G13" s="181">
        <v>568</v>
      </c>
      <c r="H13" s="181">
        <v>120</v>
      </c>
      <c r="I13" s="245">
        <v>3168</v>
      </c>
      <c r="J13" s="8">
        <v>5529</v>
      </c>
      <c r="K13" s="246">
        <v>24</v>
      </c>
      <c r="L13" s="181">
        <v>96</v>
      </c>
      <c r="M13" s="181">
        <v>202</v>
      </c>
      <c r="N13" s="181">
        <v>246</v>
      </c>
      <c r="O13" s="181">
        <v>1033</v>
      </c>
      <c r="P13" s="245">
        <v>2135</v>
      </c>
      <c r="Q13" s="79">
        <v>2361</v>
      </c>
      <c r="S13" s="4" t="s">
        <v>1077</v>
      </c>
    </row>
    <row r="14" spans="1:19" ht="12.75" customHeight="1" x14ac:dyDescent="0.2">
      <c r="D14" s="4" t="s">
        <v>752</v>
      </c>
      <c r="E14" s="181">
        <v>62</v>
      </c>
      <c r="F14" s="181">
        <v>347</v>
      </c>
      <c r="G14" s="181">
        <v>1412</v>
      </c>
      <c r="H14" s="181">
        <v>306</v>
      </c>
      <c r="I14" s="245">
        <v>1714</v>
      </c>
      <c r="J14" s="77">
        <v>5302</v>
      </c>
      <c r="K14" s="246">
        <v>125</v>
      </c>
      <c r="L14" s="181">
        <v>181</v>
      </c>
      <c r="M14" s="181">
        <v>233</v>
      </c>
      <c r="N14" s="181">
        <v>873</v>
      </c>
      <c r="O14" s="181">
        <v>683</v>
      </c>
      <c r="P14" s="245">
        <v>1031</v>
      </c>
      <c r="Q14" s="78">
        <v>3588</v>
      </c>
      <c r="S14" s="4" t="s">
        <v>1077</v>
      </c>
    </row>
    <row r="15" spans="1:19" ht="12.75" customHeight="1" x14ac:dyDescent="0.2">
      <c r="D15" s="11" t="s">
        <v>753</v>
      </c>
      <c r="E15" s="247">
        <f t="shared" ref="E15:J15" si="0">E7-SUM(E10:E14)</f>
        <v>-551</v>
      </c>
      <c r="F15" s="247">
        <f t="shared" si="0"/>
        <v>-2980</v>
      </c>
      <c r="G15" s="247">
        <f t="shared" si="0"/>
        <v>-8060</v>
      </c>
      <c r="H15" s="247">
        <f t="shared" si="0"/>
        <v>-2135</v>
      </c>
      <c r="I15" s="247">
        <f t="shared" si="0"/>
        <v>-693</v>
      </c>
      <c r="J15" s="235">
        <f t="shared" si="0"/>
        <v>-1260</v>
      </c>
      <c r="K15" s="247">
        <f t="shared" ref="K15:Q15" si="1">K7-SUM(K10:K14)</f>
        <v>-935</v>
      </c>
      <c r="L15" s="247">
        <f t="shared" si="1"/>
        <v>-1200</v>
      </c>
      <c r="M15" s="247">
        <f t="shared" si="1"/>
        <v>-3089</v>
      </c>
      <c r="N15" s="247">
        <f t="shared" si="1"/>
        <v>-2836</v>
      </c>
      <c r="O15" s="247">
        <f t="shared" si="1"/>
        <v>-1667</v>
      </c>
      <c r="P15" s="247">
        <f t="shared" si="1"/>
        <v>974</v>
      </c>
      <c r="Q15" s="247">
        <f t="shared" si="1"/>
        <v>-567</v>
      </c>
      <c r="S15" s="4" t="s">
        <v>754</v>
      </c>
    </row>
    <row r="16" spans="1:19" ht="12.75" customHeight="1" x14ac:dyDescent="0.2">
      <c r="D16" s="63" t="s">
        <v>755</v>
      </c>
      <c r="E16" s="181">
        <v>-551</v>
      </c>
      <c r="F16" s="181">
        <v>-2980</v>
      </c>
      <c r="G16" s="181">
        <v>-8060</v>
      </c>
      <c r="H16" s="181">
        <v>-2135</v>
      </c>
      <c r="I16" s="245">
        <v>-693</v>
      </c>
      <c r="J16" s="8">
        <v>-1260</v>
      </c>
      <c r="K16" s="246">
        <v>-935</v>
      </c>
      <c r="L16" s="181">
        <v>-1200</v>
      </c>
      <c r="M16" s="181">
        <v>-3089</v>
      </c>
      <c r="N16" s="181">
        <v>-2836</v>
      </c>
      <c r="O16" s="181">
        <v>-1667</v>
      </c>
      <c r="P16" s="245">
        <v>974</v>
      </c>
      <c r="Q16" s="79">
        <v>-567</v>
      </c>
      <c r="S16" s="4" t="s">
        <v>1077</v>
      </c>
    </row>
    <row r="17" spans="3:19" ht="12.75" customHeight="1" x14ac:dyDescent="0.2">
      <c r="D17" s="4" t="s">
        <v>756</v>
      </c>
      <c r="E17" s="181">
        <v>69</v>
      </c>
      <c r="F17" s="181">
        <v>106</v>
      </c>
      <c r="G17" s="181">
        <v>431</v>
      </c>
      <c r="H17" s="181">
        <v>115</v>
      </c>
      <c r="I17" s="245">
        <v>1111</v>
      </c>
      <c r="J17" s="8">
        <v>2359</v>
      </c>
      <c r="K17" s="246">
        <v>51</v>
      </c>
      <c r="L17" s="181">
        <v>64</v>
      </c>
      <c r="M17" s="181">
        <v>124</v>
      </c>
      <c r="N17" s="181">
        <v>192</v>
      </c>
      <c r="O17" s="181">
        <v>349</v>
      </c>
      <c r="P17" s="245">
        <v>762</v>
      </c>
      <c r="Q17" s="79">
        <v>1248</v>
      </c>
      <c r="S17" s="4" t="s">
        <v>1077</v>
      </c>
    </row>
    <row r="18" spans="3:19" ht="12.75" customHeight="1" x14ac:dyDescent="0.2">
      <c r="D18" s="4" t="s">
        <v>757</v>
      </c>
      <c r="E18" s="181">
        <v>-1045</v>
      </c>
      <c r="F18" s="181">
        <v>-5434</v>
      </c>
      <c r="G18" s="181">
        <v>-34308</v>
      </c>
      <c r="H18" s="181">
        <v>-10942</v>
      </c>
      <c r="I18" s="245">
        <v>-72388</v>
      </c>
      <c r="J18" s="8">
        <v>-94324</v>
      </c>
      <c r="K18" s="246">
        <v>-5701</v>
      </c>
      <c r="L18" s="181">
        <v>-5241</v>
      </c>
      <c r="M18" s="181">
        <v>-9165</v>
      </c>
      <c r="N18" s="181">
        <v>-14201</v>
      </c>
      <c r="O18" s="181">
        <v>-12791</v>
      </c>
      <c r="P18" s="245">
        <v>-59597</v>
      </c>
      <c r="Q18" s="79">
        <v>-21936</v>
      </c>
      <c r="S18" s="4" t="s">
        <v>1077</v>
      </c>
    </row>
    <row r="19" spans="3:19" ht="12.75" customHeight="1" x14ac:dyDescent="0.2">
      <c r="D19" s="4" t="s">
        <v>758</v>
      </c>
      <c r="E19" s="181">
        <v>-2</v>
      </c>
      <c r="F19" s="181">
        <v>0</v>
      </c>
      <c r="G19" s="181">
        <v>-8</v>
      </c>
      <c r="H19" s="181">
        <v>0</v>
      </c>
      <c r="I19" s="245">
        <v>-8757</v>
      </c>
      <c r="J19" s="8">
        <v>-10397</v>
      </c>
      <c r="K19" s="246">
        <v>0</v>
      </c>
      <c r="L19" s="181">
        <v>0</v>
      </c>
      <c r="M19" s="181">
        <v>-3</v>
      </c>
      <c r="N19" s="181">
        <v>-5</v>
      </c>
      <c r="O19" s="181">
        <v>-309</v>
      </c>
      <c r="P19" s="245">
        <v>-8448</v>
      </c>
      <c r="Q19" s="79">
        <v>-1640</v>
      </c>
      <c r="S19" s="4" t="s">
        <v>1078</v>
      </c>
    </row>
    <row r="20" spans="3:19" ht="12.75" customHeight="1" x14ac:dyDescent="0.2">
      <c r="D20" s="4" t="s">
        <v>759</v>
      </c>
      <c r="E20" s="181">
        <v>2</v>
      </c>
      <c r="F20" s="181">
        <v>1</v>
      </c>
      <c r="G20" s="181">
        <v>20</v>
      </c>
      <c r="H20" s="181">
        <v>7</v>
      </c>
      <c r="I20" s="245">
        <v>21</v>
      </c>
      <c r="J20" s="77">
        <v>417</v>
      </c>
      <c r="K20" s="246">
        <v>7</v>
      </c>
      <c r="L20" s="181">
        <v>0</v>
      </c>
      <c r="M20" s="181">
        <v>5</v>
      </c>
      <c r="N20" s="181">
        <v>8</v>
      </c>
      <c r="O20" s="181">
        <v>21</v>
      </c>
      <c r="P20" s="245">
        <v>0</v>
      </c>
      <c r="Q20" s="78">
        <v>396</v>
      </c>
      <c r="S20" s="4" t="s">
        <v>1077</v>
      </c>
    </row>
    <row r="21" spans="3:19" ht="12.75" customHeight="1" x14ac:dyDescent="0.2">
      <c r="D21" s="11" t="s">
        <v>760</v>
      </c>
      <c r="E21" s="247">
        <f t="shared" ref="E21:J21" si="2">E15+E17+E18+E19-E20</f>
        <v>-1531</v>
      </c>
      <c r="F21" s="247">
        <f t="shared" si="2"/>
        <v>-8309</v>
      </c>
      <c r="G21" s="247">
        <f t="shared" si="2"/>
        <v>-41965</v>
      </c>
      <c r="H21" s="247">
        <f t="shared" si="2"/>
        <v>-12969</v>
      </c>
      <c r="I21" s="247">
        <f t="shared" si="2"/>
        <v>-80748</v>
      </c>
      <c r="J21" s="235">
        <f t="shared" si="2"/>
        <v>-104039</v>
      </c>
      <c r="K21" s="247">
        <f t="shared" ref="K21:Q21" si="3">K15+K17+K18+K19-K20</f>
        <v>-6592</v>
      </c>
      <c r="L21" s="247">
        <f t="shared" si="3"/>
        <v>-6377</v>
      </c>
      <c r="M21" s="247">
        <f t="shared" si="3"/>
        <v>-12138</v>
      </c>
      <c r="N21" s="247">
        <f t="shared" si="3"/>
        <v>-16858</v>
      </c>
      <c r="O21" s="247">
        <f t="shared" si="3"/>
        <v>-14439</v>
      </c>
      <c r="P21" s="247">
        <f t="shared" si="3"/>
        <v>-66309</v>
      </c>
      <c r="Q21" s="247">
        <f t="shared" si="3"/>
        <v>-23291</v>
      </c>
    </row>
    <row r="22" spans="3:19" ht="12.75" customHeight="1" x14ac:dyDescent="0.2">
      <c r="D22" s="63" t="s">
        <v>761</v>
      </c>
      <c r="E22" s="181">
        <v>-1531</v>
      </c>
      <c r="F22" s="181">
        <v>-8309</v>
      </c>
      <c r="G22" s="181">
        <v>-41965</v>
      </c>
      <c r="H22" s="181">
        <v>-12969</v>
      </c>
      <c r="I22" s="245">
        <v>-80748</v>
      </c>
      <c r="J22" s="8">
        <v>-104039</v>
      </c>
      <c r="K22" s="246">
        <v>-6592</v>
      </c>
      <c r="L22" s="181">
        <v>-6377</v>
      </c>
      <c r="M22" s="181">
        <v>-12138</v>
      </c>
      <c r="N22" s="181">
        <v>-16858</v>
      </c>
      <c r="O22" s="181">
        <v>-14439</v>
      </c>
      <c r="P22" s="245">
        <v>-66309</v>
      </c>
      <c r="Q22" s="78">
        <v>-23291</v>
      </c>
      <c r="S22" s="4" t="s">
        <v>1077</v>
      </c>
    </row>
    <row r="23" spans="3:19" ht="12.75" customHeight="1" x14ac:dyDescent="0.2">
      <c r="D23" s="4" t="s">
        <v>762</v>
      </c>
      <c r="E23" s="181">
        <v>29</v>
      </c>
      <c r="F23" s="181">
        <v>192</v>
      </c>
      <c r="G23" s="248">
        <v>1158</v>
      </c>
      <c r="H23" s="181">
        <v>286</v>
      </c>
      <c r="I23" s="249">
        <v>2185</v>
      </c>
      <c r="J23" s="77">
        <v>3255</v>
      </c>
      <c r="K23" s="246">
        <v>105</v>
      </c>
      <c r="L23" s="181">
        <v>181</v>
      </c>
      <c r="M23" s="181">
        <v>305</v>
      </c>
      <c r="N23" s="181">
        <v>574</v>
      </c>
      <c r="O23" s="181">
        <v>924</v>
      </c>
      <c r="P23" s="86">
        <f>I23-O23</f>
        <v>1261</v>
      </c>
      <c r="Q23" s="237">
        <f>J23-I23</f>
        <v>1070</v>
      </c>
      <c r="S23" s="4" t="s">
        <v>984</v>
      </c>
    </row>
    <row r="24" spans="3:19" ht="12.75" customHeight="1" x14ac:dyDescent="0.2">
      <c r="D24" s="4" t="s">
        <v>985</v>
      </c>
      <c r="G24" s="77">
        <v>541</v>
      </c>
      <c r="I24" s="76">
        <v>126</v>
      </c>
      <c r="J24" s="80">
        <v>2086</v>
      </c>
      <c r="Q24" s="237">
        <f>J24-I24</f>
        <v>1960</v>
      </c>
      <c r="S24" s="4" t="s">
        <v>986</v>
      </c>
    </row>
    <row r="25" spans="3:19" ht="12.75" customHeight="1" x14ac:dyDescent="0.2">
      <c r="C25" s="200" t="s">
        <v>8</v>
      </c>
      <c r="D25" s="203" t="s">
        <v>763</v>
      </c>
      <c r="E25" s="215"/>
      <c r="F25" s="215"/>
      <c r="G25" s="215"/>
      <c r="H25" s="215"/>
      <c r="I25" s="215"/>
      <c r="J25" s="215"/>
      <c r="K25" s="215"/>
      <c r="L25" s="215"/>
      <c r="M25" s="215"/>
      <c r="N25" s="215"/>
      <c r="O25" s="215"/>
      <c r="P25" s="215"/>
      <c r="Q25" s="215"/>
      <c r="R25" s="215"/>
      <c r="S25" s="215"/>
    </row>
    <row r="26" spans="3:19" ht="12.75" customHeight="1" x14ac:dyDescent="0.2">
      <c r="D26" s="204" t="s">
        <v>764</v>
      </c>
      <c r="L26" s="205">
        <f t="shared" ref="L26:Q26" si="4">L7/K7-1</f>
        <v>1.0930851063829787</v>
      </c>
      <c r="M26" s="205">
        <f t="shared" si="4"/>
        <v>0.75603557814485378</v>
      </c>
      <c r="N26" s="205">
        <f t="shared" si="4"/>
        <v>0.47612156295224306</v>
      </c>
      <c r="O26" s="205">
        <f t="shared" si="4"/>
        <v>1.3191176470588237</v>
      </c>
      <c r="P26" s="205">
        <f t="shared" si="4"/>
        <v>1.4424011836820969</v>
      </c>
      <c r="Q26" s="205">
        <f t="shared" si="4"/>
        <v>0.4674167027260927</v>
      </c>
      <c r="S26" s="4" t="s">
        <v>765</v>
      </c>
    </row>
    <row r="27" spans="3:19" ht="12.75" customHeight="1" x14ac:dyDescent="0.2">
      <c r="D27" s="204" t="s">
        <v>766</v>
      </c>
      <c r="E27" s="205">
        <f t="shared" ref="E27:J27" si="5">E10/E7</f>
        <v>10.560975609756097</v>
      </c>
      <c r="F27" s="205">
        <f t="shared" si="5"/>
        <v>6.5336787564766841</v>
      </c>
      <c r="G27" s="205">
        <f t="shared" si="5"/>
        <v>1.5978189749182115</v>
      </c>
      <c r="H27" s="205">
        <f t="shared" si="5"/>
        <v>2.0068787618228718</v>
      </c>
      <c r="I27" s="205">
        <f t="shared" si="5"/>
        <v>0.54924475009210361</v>
      </c>
      <c r="J27" s="205">
        <f t="shared" si="5"/>
        <v>0.56579026532699594</v>
      </c>
      <c r="K27" s="205">
        <f t="shared" ref="K27:P27" si="6">K10/K7</f>
        <v>2.5106382978723403</v>
      </c>
      <c r="L27" s="205">
        <f t="shared" si="6"/>
        <v>1.7662007623888183</v>
      </c>
      <c r="M27" s="205">
        <f t="shared" si="6"/>
        <v>1.4811866859623735</v>
      </c>
      <c r="N27" s="205">
        <f t="shared" si="6"/>
        <v>1.4436274509803921</v>
      </c>
      <c r="O27" s="205">
        <f t="shared" si="6"/>
        <v>0.71591629676601143</v>
      </c>
      <c r="P27" s="205">
        <f t="shared" si="6"/>
        <v>0.48100389441800084</v>
      </c>
      <c r="Q27" s="205">
        <f t="shared" ref="Q27" si="7">Q10/Q7</f>
        <v>0.5816820004718094</v>
      </c>
    </row>
    <row r="28" spans="3:19" ht="12.75" customHeight="1" x14ac:dyDescent="0.2">
      <c r="D28" s="204" t="s">
        <v>767</v>
      </c>
      <c r="E28" s="205">
        <f t="shared" ref="E28:J28" si="8">(E11-E23)/E7</f>
        <v>1.6097560975609757</v>
      </c>
      <c r="F28" s="205">
        <f t="shared" si="8"/>
        <v>0.67875647668393779</v>
      </c>
      <c r="G28" s="205">
        <f t="shared" si="8"/>
        <v>0.14852780806979279</v>
      </c>
      <c r="H28" s="205">
        <f t="shared" si="8"/>
        <v>0.21668099742046432</v>
      </c>
      <c r="I28" s="205">
        <f t="shared" si="8"/>
        <v>5.9376151295591303E-2</v>
      </c>
      <c r="J28" s="205">
        <f t="shared" si="8"/>
        <v>4.8372540761687025E-2</v>
      </c>
      <c r="K28" s="205">
        <f t="shared" ref="K28:P28" si="9">(K11-K23)/K7</f>
        <v>0.30053191489361702</v>
      </c>
      <c r="L28" s="205">
        <f t="shared" si="9"/>
        <v>0.17662007623888182</v>
      </c>
      <c r="M28" s="205">
        <f t="shared" si="9"/>
        <v>0.13314037626628075</v>
      </c>
      <c r="N28" s="205">
        <f t="shared" si="9"/>
        <v>0.11666666666666667</v>
      </c>
      <c r="O28" s="205">
        <f t="shared" si="9"/>
        <v>7.8418938913548938E-2</v>
      </c>
      <c r="P28" s="205">
        <f t="shared" si="9"/>
        <v>5.1579402855906537E-2</v>
      </c>
      <c r="Q28" s="205">
        <f t="shared" ref="Q28" si="10">(Q11-Q23)/Q7</f>
        <v>3.7803727294173153E-2</v>
      </c>
    </row>
    <row r="29" spans="3:19" ht="12.75" customHeight="1" x14ac:dyDescent="0.2">
      <c r="D29" s="204" t="s">
        <v>768</v>
      </c>
      <c r="E29" s="205">
        <f t="shared" ref="E29:J29" si="11">E23/E7</f>
        <v>0.70731707317073167</v>
      </c>
      <c r="F29" s="205">
        <f t="shared" si="11"/>
        <v>0.49740932642487046</v>
      </c>
      <c r="G29" s="205">
        <f t="shared" si="11"/>
        <v>0.25256270447110141</v>
      </c>
      <c r="H29" s="205">
        <f t="shared" si="11"/>
        <v>0.24591573516766982</v>
      </c>
      <c r="I29" s="205">
        <f t="shared" si="11"/>
        <v>0.13416431290679112</v>
      </c>
      <c r="J29" s="205">
        <f t="shared" si="11"/>
        <v>9.7918296131400032E-2</v>
      </c>
      <c r="K29" s="205">
        <f t="shared" ref="K29:P29" si="12">K23/K7</f>
        <v>0.27925531914893614</v>
      </c>
      <c r="L29" s="205">
        <f t="shared" si="12"/>
        <v>0.22998729351969505</v>
      </c>
      <c r="M29" s="205">
        <f t="shared" si="12"/>
        <v>0.22069464544138928</v>
      </c>
      <c r="N29" s="205">
        <f t="shared" si="12"/>
        <v>0.28137254901960784</v>
      </c>
      <c r="O29" s="205">
        <f t="shared" si="12"/>
        <v>0.19530754597336716</v>
      </c>
      <c r="P29" s="205">
        <f t="shared" si="12"/>
        <v>0.10913024664647339</v>
      </c>
      <c r="Q29" s="205">
        <f t="shared" ref="Q29" si="13">Q23/Q7</f>
        <v>6.3104505779665018E-2</v>
      </c>
    </row>
    <row r="30" spans="3:19" ht="12.75" customHeight="1" x14ac:dyDescent="0.2">
      <c r="D30" s="204" t="s">
        <v>769</v>
      </c>
      <c r="E30" s="205">
        <f t="shared" ref="E30:J30" si="14">E13/E7</f>
        <v>4.878048780487805E-2</v>
      </c>
      <c r="F30" s="205">
        <f t="shared" si="14"/>
        <v>0.11139896373056994</v>
      </c>
      <c r="G30" s="205">
        <f t="shared" si="14"/>
        <v>0.12388222464558342</v>
      </c>
      <c r="H30" s="205">
        <f t="shared" si="14"/>
        <v>0.10318142734307825</v>
      </c>
      <c r="I30" s="205">
        <f t="shared" si="14"/>
        <v>0.19452290310696305</v>
      </c>
      <c r="J30" s="205">
        <f t="shared" si="14"/>
        <v>0.16632573250706936</v>
      </c>
      <c r="K30" s="205">
        <f t="shared" ref="K30:P30" si="15">K13/K7</f>
        <v>6.3829787234042548E-2</v>
      </c>
      <c r="L30" s="205">
        <f t="shared" si="15"/>
        <v>0.12198221092757307</v>
      </c>
      <c r="M30" s="205">
        <f t="shared" si="15"/>
        <v>0.14616497829232997</v>
      </c>
      <c r="N30" s="205">
        <f t="shared" si="15"/>
        <v>0.12058823529411765</v>
      </c>
      <c r="O30" s="205">
        <f t="shared" si="15"/>
        <v>0.21834707250052843</v>
      </c>
      <c r="P30" s="205">
        <f t="shared" si="15"/>
        <v>0.18476849848550411</v>
      </c>
      <c r="Q30" s="205">
        <f t="shared" ref="Q30" si="16">Q13/Q7</f>
        <v>0.13924274593064401</v>
      </c>
    </row>
    <row r="31" spans="3:19" ht="12.75" customHeight="1" x14ac:dyDescent="0.2">
      <c r="D31" s="204" t="s">
        <v>770</v>
      </c>
      <c r="E31" s="205">
        <f t="shared" ref="E31:J31" si="17">E14/E7</f>
        <v>1.5121951219512195</v>
      </c>
      <c r="F31" s="205">
        <f t="shared" si="17"/>
        <v>0.89896373056994816</v>
      </c>
      <c r="G31" s="205">
        <f t="shared" si="17"/>
        <v>0.30796074154852782</v>
      </c>
      <c r="H31" s="205">
        <f t="shared" si="17"/>
        <v>0.26311263972484955</v>
      </c>
      <c r="I31" s="205">
        <f t="shared" si="17"/>
        <v>0.10524376765319907</v>
      </c>
      <c r="J31" s="205">
        <f t="shared" si="17"/>
        <v>0.15949702183984116</v>
      </c>
      <c r="K31" s="205">
        <f t="shared" ref="K31:P31" si="18">K14/K7</f>
        <v>0.33244680851063829</v>
      </c>
      <c r="L31" s="205">
        <f t="shared" si="18"/>
        <v>0.22998729351969505</v>
      </c>
      <c r="M31" s="205">
        <f t="shared" si="18"/>
        <v>0.16859623733719248</v>
      </c>
      <c r="N31" s="205">
        <f t="shared" si="18"/>
        <v>0.42794117647058821</v>
      </c>
      <c r="O31" s="205">
        <f t="shared" si="18"/>
        <v>0.14436694145001056</v>
      </c>
      <c r="P31" s="205">
        <f t="shared" si="18"/>
        <v>8.9225443530938989E-2</v>
      </c>
      <c r="Q31" s="205">
        <f t="shared" ref="Q31" si="19">Q14/Q7</f>
        <v>0.21160651096956828</v>
      </c>
    </row>
    <row r="32" spans="3:19" ht="12.75" customHeight="1" x14ac:dyDescent="0.2">
      <c r="D32" s="204" t="s">
        <v>771</v>
      </c>
      <c r="E32" s="205">
        <f t="shared" ref="E32:J32" si="20">E15/E7</f>
        <v>-13.439024390243903</v>
      </c>
      <c r="F32" s="205">
        <f t="shared" si="20"/>
        <v>-7.7202072538860103</v>
      </c>
      <c r="G32" s="205">
        <f t="shared" si="20"/>
        <v>-1.7579062159214831</v>
      </c>
      <c r="H32" s="205">
        <f t="shared" si="20"/>
        <v>-1.8357695614789338</v>
      </c>
      <c r="I32" s="205">
        <f t="shared" si="20"/>
        <v>-4.2551885054648166E-2</v>
      </c>
      <c r="J32" s="205">
        <f t="shared" si="20"/>
        <v>-3.7903856566993563E-2</v>
      </c>
      <c r="K32" s="205">
        <f t="shared" ref="K32:P32" si="21">K15/K7</f>
        <v>-2.4867021276595747</v>
      </c>
      <c r="L32" s="205">
        <f t="shared" si="21"/>
        <v>-1.5247776365946633</v>
      </c>
      <c r="M32" s="205">
        <f t="shared" si="21"/>
        <v>-2.2351664254703327</v>
      </c>
      <c r="N32" s="205">
        <f t="shared" si="21"/>
        <v>-1.3901960784313725</v>
      </c>
      <c r="O32" s="205">
        <f t="shared" si="21"/>
        <v>-0.3523567956034665</v>
      </c>
      <c r="P32" s="205">
        <f t="shared" si="21"/>
        <v>8.4292514063176116E-2</v>
      </c>
      <c r="Q32" s="205">
        <f t="shared" ref="Q32" si="22">Q15/Q7</f>
        <v>-3.3439490445859872E-2</v>
      </c>
    </row>
    <row r="33" spans="3:19" ht="12.75" customHeight="1" x14ac:dyDescent="0.2">
      <c r="D33" s="204" t="s">
        <v>772</v>
      </c>
      <c r="E33" s="205">
        <f t="shared" ref="E33:J33" si="23">(E15+E23+E12)/E7</f>
        <v>-12.731707317073171</v>
      </c>
      <c r="F33" s="205">
        <f t="shared" si="23"/>
        <v>-7.2227979274611398</v>
      </c>
      <c r="G33" s="205">
        <f t="shared" si="23"/>
        <v>-1.1781897491821156</v>
      </c>
      <c r="H33" s="205">
        <f t="shared" si="23"/>
        <v>-1.589853826311264</v>
      </c>
      <c r="I33" s="205">
        <f t="shared" si="23"/>
        <v>9.161242785214295E-2</v>
      </c>
      <c r="J33" s="205">
        <f t="shared" si="23"/>
        <v>6.0014439564406476E-2</v>
      </c>
      <c r="K33" s="205">
        <f t="shared" ref="K33:P33" si="24">(K15+K23+K12)/K7</f>
        <v>-2.2074468085106385</v>
      </c>
      <c r="L33" s="205">
        <f t="shared" si="24"/>
        <v>-1.2947903430749683</v>
      </c>
      <c r="M33" s="205">
        <f t="shared" si="24"/>
        <v>-0.9290882778581766</v>
      </c>
      <c r="N33" s="205">
        <f t="shared" si="24"/>
        <v>-1.1088235294117648</v>
      </c>
      <c r="O33" s="205">
        <f t="shared" si="24"/>
        <v>-0.15704924963009934</v>
      </c>
      <c r="P33" s="205">
        <f t="shared" si="24"/>
        <v>0.1934227607096495</v>
      </c>
      <c r="Q33" s="205">
        <f t="shared" ref="Q33" si="25">(Q15+Q23+Q12)/Q7</f>
        <v>2.9665015333805143E-2</v>
      </c>
    </row>
    <row r="34" spans="3:19" ht="12.75" customHeight="1" x14ac:dyDescent="0.2">
      <c r="D34" s="63" t="s">
        <v>773</v>
      </c>
      <c r="E34" s="74">
        <f t="shared" ref="E34:J34" si="26">E7/E10</f>
        <v>9.4688221709006926E-2</v>
      </c>
      <c r="F34" s="74">
        <f t="shared" si="26"/>
        <v>0.15305313243457574</v>
      </c>
      <c r="G34" s="74">
        <f t="shared" si="26"/>
        <v>0.6258531258531258</v>
      </c>
      <c r="H34" s="74">
        <f t="shared" si="26"/>
        <v>0.49828620394173095</v>
      </c>
      <c r="I34" s="74">
        <f t="shared" si="26"/>
        <v>1.8206819452207936</v>
      </c>
      <c r="J34" s="74">
        <f t="shared" si="26"/>
        <v>1.7674393874946832</v>
      </c>
      <c r="K34" s="74">
        <f t="shared" ref="K34:P34" si="27">K7/K10</f>
        <v>0.39830508474576271</v>
      </c>
      <c r="L34" s="74">
        <f t="shared" si="27"/>
        <v>0.56618705035971229</v>
      </c>
      <c r="M34" s="74">
        <f t="shared" si="27"/>
        <v>0.67513434294088914</v>
      </c>
      <c r="N34" s="74">
        <f t="shared" si="27"/>
        <v>0.69269949066213921</v>
      </c>
      <c r="O34" s="74">
        <f t="shared" si="27"/>
        <v>1.3968113374667848</v>
      </c>
      <c r="P34" s="74">
        <f t="shared" si="27"/>
        <v>2.0789852464915439</v>
      </c>
      <c r="Q34" s="74">
        <f t="shared" ref="Q34" si="28">Q7/Q10</f>
        <v>1.7191523877116497</v>
      </c>
    </row>
    <row r="35" spans="3:19" ht="12.75" customHeight="1" x14ac:dyDescent="0.2"/>
    <row r="36" spans="3:19" ht="12.75" customHeight="1" x14ac:dyDescent="0.2">
      <c r="C36" s="200" t="s">
        <v>8</v>
      </c>
      <c r="D36" s="203" t="s">
        <v>774</v>
      </c>
      <c r="E36" s="215"/>
      <c r="F36" s="215"/>
      <c r="G36" s="215"/>
      <c r="H36" s="215"/>
      <c r="I36" s="215"/>
      <c r="J36" s="215"/>
      <c r="K36" s="215"/>
      <c r="L36" s="215"/>
      <c r="M36" s="215"/>
      <c r="N36" s="215"/>
      <c r="O36" s="215"/>
      <c r="P36" s="215"/>
      <c r="Q36" s="215"/>
      <c r="R36" s="215"/>
      <c r="S36" s="215"/>
    </row>
    <row r="37" spans="3:19" ht="12.75" customHeight="1" x14ac:dyDescent="0.2">
      <c r="D37" s="4" t="s">
        <v>775</v>
      </c>
      <c r="E37" s="181">
        <v>26</v>
      </c>
      <c r="F37" s="181">
        <v>752</v>
      </c>
      <c r="G37" s="181">
        <v>2773</v>
      </c>
      <c r="H37" s="181">
        <v>1019</v>
      </c>
      <c r="I37" s="245">
        <v>2380</v>
      </c>
      <c r="J37" s="8">
        <v>4812</v>
      </c>
      <c r="S37" s="4" t="s">
        <v>776</v>
      </c>
    </row>
    <row r="38" spans="3:19" ht="12.75" customHeight="1" x14ac:dyDescent="0.2">
      <c r="D38" s="4" t="s">
        <v>777</v>
      </c>
      <c r="E38" s="181">
        <v>422</v>
      </c>
      <c r="F38" s="181">
        <v>2275</v>
      </c>
      <c r="G38" s="181">
        <v>6338</v>
      </c>
      <c r="H38" s="181">
        <v>1850</v>
      </c>
      <c r="I38" s="245">
        <v>9741</v>
      </c>
      <c r="J38" s="8">
        <v>19240</v>
      </c>
      <c r="S38" s="4" t="s">
        <v>776</v>
      </c>
    </row>
    <row r="39" spans="3:19" ht="12.75" customHeight="1" x14ac:dyDescent="0.2">
      <c r="D39" s="4" t="s">
        <v>778</v>
      </c>
      <c r="E39" s="181">
        <v>76</v>
      </c>
      <c r="F39" s="181">
        <v>163</v>
      </c>
      <c r="G39" s="181">
        <v>911</v>
      </c>
      <c r="H39" s="181">
        <v>239</v>
      </c>
      <c r="I39" s="245">
        <v>3808</v>
      </c>
      <c r="J39" s="8">
        <v>6619</v>
      </c>
      <c r="S39" s="4" t="s">
        <v>776</v>
      </c>
    </row>
    <row r="40" spans="3:19" ht="12.75" customHeight="1" x14ac:dyDescent="0.2">
      <c r="D40" s="4" t="s">
        <v>750</v>
      </c>
      <c r="E40" s="181">
        <v>0</v>
      </c>
      <c r="F40" s="181">
        <v>0</v>
      </c>
      <c r="G40" s="181">
        <v>1500</v>
      </c>
      <c r="H40" s="181">
        <v>0</v>
      </c>
      <c r="I40" s="245">
        <v>0</v>
      </c>
      <c r="J40" s="8">
        <v>0</v>
      </c>
      <c r="S40" s="4" t="s">
        <v>776</v>
      </c>
    </row>
    <row r="41" spans="3:19" ht="12.75" customHeight="1" x14ac:dyDescent="0.2">
      <c r="D41" s="4" t="s">
        <v>779</v>
      </c>
      <c r="E41" s="181">
        <v>68</v>
      </c>
      <c r="F41" s="181">
        <v>176</v>
      </c>
      <c r="G41" s="181">
        <v>1123</v>
      </c>
      <c r="H41" s="181">
        <v>190</v>
      </c>
      <c r="I41" s="245">
        <v>1050</v>
      </c>
      <c r="J41" s="77">
        <v>3831</v>
      </c>
      <c r="S41" s="4" t="s">
        <v>776</v>
      </c>
    </row>
    <row r="42" spans="3:19" ht="12.75" customHeight="1" x14ac:dyDescent="0.2">
      <c r="D42" s="11" t="s">
        <v>780</v>
      </c>
      <c r="E42" s="247">
        <f t="shared" ref="E42:J42" si="29">SUM(E37:E41)</f>
        <v>592</v>
      </c>
      <c r="F42" s="247">
        <f t="shared" si="29"/>
        <v>3366</v>
      </c>
      <c r="G42" s="247">
        <f t="shared" si="29"/>
        <v>12645</v>
      </c>
      <c r="H42" s="247">
        <f t="shared" si="29"/>
        <v>3298</v>
      </c>
      <c r="I42" s="247">
        <f t="shared" si="29"/>
        <v>16979</v>
      </c>
      <c r="J42" s="235">
        <f t="shared" si="29"/>
        <v>34502</v>
      </c>
    </row>
    <row r="43" spans="3:19" ht="12.75" customHeight="1" x14ac:dyDescent="0.2">
      <c r="D43" s="63" t="s">
        <v>781</v>
      </c>
      <c r="E43" s="86">
        <f t="shared" ref="E43:J43" si="30">E42-SUM(E10:E14)</f>
        <v>0</v>
      </c>
      <c r="F43" s="86">
        <f t="shared" si="30"/>
        <v>0</v>
      </c>
      <c r="G43" s="86">
        <f t="shared" si="30"/>
        <v>0</v>
      </c>
      <c r="H43" s="86">
        <f t="shared" si="30"/>
        <v>0</v>
      </c>
      <c r="I43" s="86">
        <f t="shared" si="30"/>
        <v>0</v>
      </c>
      <c r="J43" s="86">
        <f t="shared" si="30"/>
        <v>0</v>
      </c>
      <c r="S43" s="4" t="s">
        <v>782</v>
      </c>
    </row>
    <row r="44" spans="3:19" ht="12.75" customHeight="1" x14ac:dyDescent="0.2">
      <c r="D44" s="204" t="s">
        <v>783</v>
      </c>
      <c r="E44" s="205">
        <f t="shared" ref="E44:J44" si="31">1-E37/E7</f>
        <v>0.36585365853658536</v>
      </c>
      <c r="F44" s="205">
        <f t="shared" si="31"/>
        <v>-0.94818652849740936</v>
      </c>
      <c r="G44" s="205">
        <f t="shared" si="31"/>
        <v>0.39520174482006543</v>
      </c>
      <c r="H44" s="205">
        <f t="shared" si="31"/>
        <v>0.12381771281169385</v>
      </c>
      <c r="I44" s="205">
        <f t="shared" si="31"/>
        <v>0.85386221294363263</v>
      </c>
      <c r="J44" s="205">
        <f t="shared" si="31"/>
        <v>0.85524336682510071</v>
      </c>
      <c r="S44" s="4" t="s">
        <v>784</v>
      </c>
    </row>
    <row r="45" spans="3:19" ht="12.75" customHeight="1" x14ac:dyDescent="0.2">
      <c r="D45" s="204" t="s">
        <v>785</v>
      </c>
      <c r="E45" s="205">
        <f t="shared" ref="E45:J45" si="32">1-(E37+E13)/E7</f>
        <v>0.31707317073170727</v>
      </c>
      <c r="F45" s="205">
        <f t="shared" si="32"/>
        <v>-1.0595854922279795</v>
      </c>
      <c r="G45" s="205">
        <f t="shared" si="32"/>
        <v>0.27131952017448202</v>
      </c>
      <c r="H45" s="205">
        <f t="shared" si="32"/>
        <v>2.0636285468615623E-2</v>
      </c>
      <c r="I45" s="205">
        <f t="shared" si="32"/>
        <v>0.65933930983666955</v>
      </c>
      <c r="J45" s="205">
        <f t="shared" si="32"/>
        <v>0.68891763431803144</v>
      </c>
    </row>
    <row r="46" spans="3:19" ht="12.75" customHeight="1" x14ac:dyDescent="0.2">
      <c r="D46" s="204" t="s">
        <v>232</v>
      </c>
      <c r="E46" s="205">
        <f t="shared" ref="E46:J46" si="33">1-E10/E7</f>
        <v>-9.5609756097560972</v>
      </c>
      <c r="F46" s="205">
        <f t="shared" si="33"/>
        <v>-5.5336787564766841</v>
      </c>
      <c r="G46" s="205">
        <f t="shared" si="33"/>
        <v>-0.59781897491821145</v>
      </c>
      <c r="H46" s="205">
        <f t="shared" si="33"/>
        <v>-1.0068787618228718</v>
      </c>
      <c r="I46" s="205">
        <f t="shared" si="33"/>
        <v>0.45075524990789639</v>
      </c>
      <c r="J46" s="205">
        <f t="shared" si="33"/>
        <v>0.43420973467300406</v>
      </c>
    </row>
    <row r="47" spans="3:19" ht="12.75" customHeight="1" x14ac:dyDescent="0.2">
      <c r="D47" s="204" t="s">
        <v>786</v>
      </c>
      <c r="E47" s="205">
        <f t="shared" ref="E47:J47" si="34">E37/E10</f>
        <v>6.0046189376443418E-2</v>
      </c>
      <c r="F47" s="205">
        <f t="shared" si="34"/>
        <v>0.29817605075337034</v>
      </c>
      <c r="G47" s="205">
        <f t="shared" si="34"/>
        <v>0.37851487851487853</v>
      </c>
      <c r="H47" s="205">
        <f t="shared" si="34"/>
        <v>0.43658954584404458</v>
      </c>
      <c r="I47" s="205">
        <f t="shared" si="34"/>
        <v>0.26607043040804917</v>
      </c>
      <c r="J47" s="205">
        <f t="shared" si="34"/>
        <v>0.25584857507443642</v>
      </c>
    </row>
    <row r="48" spans="3:19" ht="12.75" customHeight="1" x14ac:dyDescent="0.2">
      <c r="D48" s="63" t="s">
        <v>787</v>
      </c>
      <c r="E48" s="86">
        <f t="shared" ref="E48:J48" si="35">E39-E13</f>
        <v>74</v>
      </c>
      <c r="F48" s="86">
        <f t="shared" si="35"/>
        <v>120</v>
      </c>
      <c r="G48" s="86">
        <f t="shared" si="35"/>
        <v>343</v>
      </c>
      <c r="H48" s="86">
        <f t="shared" si="35"/>
        <v>119</v>
      </c>
      <c r="I48" s="86">
        <f t="shared" si="35"/>
        <v>640</v>
      </c>
      <c r="J48" s="86">
        <f t="shared" si="35"/>
        <v>1090</v>
      </c>
      <c r="S48" s="4" t="s">
        <v>2205</v>
      </c>
    </row>
    <row r="49" spans="3:19" ht="12.75" customHeight="1" x14ac:dyDescent="0.2"/>
    <row r="50" spans="3:19" ht="12.75" customHeight="1" x14ac:dyDescent="0.2">
      <c r="C50" s="200" t="s">
        <v>8</v>
      </c>
      <c r="D50" s="203" t="s">
        <v>788</v>
      </c>
      <c r="E50" s="215"/>
      <c r="F50" s="215"/>
      <c r="G50" s="215"/>
      <c r="H50" s="215"/>
      <c r="I50" s="215"/>
      <c r="J50" s="215"/>
      <c r="K50" s="215"/>
      <c r="L50" s="215"/>
      <c r="M50" s="215"/>
      <c r="N50" s="215"/>
      <c r="O50" s="215"/>
      <c r="P50" s="215"/>
      <c r="Q50" s="215"/>
      <c r="R50" s="215"/>
      <c r="S50" s="215"/>
    </row>
    <row r="51" spans="3:19" ht="12.75" customHeight="1" x14ac:dyDescent="0.2">
      <c r="D51" s="4" t="s">
        <v>789</v>
      </c>
      <c r="E51" s="181">
        <v>-1627</v>
      </c>
      <c r="F51" s="181">
        <v>-5692</v>
      </c>
      <c r="G51" s="181">
        <v>-2637</v>
      </c>
      <c r="H51" s="181">
        <v>-1513</v>
      </c>
      <c r="I51" s="245">
        <v>3929</v>
      </c>
      <c r="J51" s="8">
        <v>6569</v>
      </c>
      <c r="S51" s="4" t="s">
        <v>790</v>
      </c>
    </row>
    <row r="52" spans="3:19" ht="12.75" customHeight="1" x14ac:dyDescent="0.2">
      <c r="D52" s="63" t="s">
        <v>791</v>
      </c>
      <c r="E52" s="181">
        <v>7</v>
      </c>
      <c r="F52" s="181">
        <v>21</v>
      </c>
      <c r="G52" s="181">
        <v>241</v>
      </c>
      <c r="H52" s="181">
        <v>124</v>
      </c>
      <c r="I52" s="245">
        <v>1380</v>
      </c>
      <c r="J52" s="8">
        <v>1702</v>
      </c>
      <c r="S52" s="4" t="s">
        <v>790</v>
      </c>
    </row>
    <row r="53" spans="3:19" ht="12.75" customHeight="1" x14ac:dyDescent="0.2">
      <c r="D53" s="4" t="s">
        <v>792</v>
      </c>
      <c r="E53" s="181">
        <v>-2</v>
      </c>
      <c r="F53" s="181">
        <v>-15</v>
      </c>
      <c r="G53" s="181">
        <v>-131</v>
      </c>
      <c r="H53" s="181">
        <v>-18</v>
      </c>
      <c r="I53" s="245">
        <v>-482</v>
      </c>
      <c r="J53" s="8">
        <v>-925</v>
      </c>
      <c r="S53" s="4" t="s">
        <v>790</v>
      </c>
    </row>
    <row r="54" spans="3:19" ht="12.75" customHeight="1" x14ac:dyDescent="0.2">
      <c r="D54" s="4" t="s">
        <v>793</v>
      </c>
      <c r="E54" s="181">
        <v>3</v>
      </c>
      <c r="F54" s="181">
        <v>21</v>
      </c>
      <c r="G54" s="181">
        <v>40</v>
      </c>
      <c r="H54" s="181">
        <v>14</v>
      </c>
      <c r="I54" s="245">
        <v>97</v>
      </c>
      <c r="J54" s="8">
        <v>250</v>
      </c>
      <c r="S54" s="4" t="s">
        <v>790</v>
      </c>
    </row>
    <row r="55" spans="3:19" ht="12.75" customHeight="1" x14ac:dyDescent="0.2">
      <c r="D55" s="4" t="s">
        <v>794</v>
      </c>
      <c r="E55" s="181">
        <v>445</v>
      </c>
      <c r="F55" s="181">
        <v>1188</v>
      </c>
      <c r="G55" s="181">
        <v>16548</v>
      </c>
      <c r="H55" s="181">
        <v>3549</v>
      </c>
      <c r="I55" s="245">
        <v>110432</v>
      </c>
      <c r="J55" s="77">
        <v>110432</v>
      </c>
      <c r="S55" s="4" t="s">
        <v>790</v>
      </c>
    </row>
    <row r="56" spans="3:19" ht="12.75" customHeight="1" x14ac:dyDescent="0.2">
      <c r="D56" s="11" t="s">
        <v>795</v>
      </c>
      <c r="E56" s="247">
        <f t="shared" ref="E56:J56" si="36">E51+E53</f>
        <v>-1629</v>
      </c>
      <c r="F56" s="247">
        <f t="shared" si="36"/>
        <v>-5707</v>
      </c>
      <c r="G56" s="247">
        <f t="shared" si="36"/>
        <v>-2768</v>
      </c>
      <c r="H56" s="247">
        <f t="shared" si="36"/>
        <v>-1531</v>
      </c>
      <c r="I56" s="247">
        <f t="shared" si="36"/>
        <v>3447</v>
      </c>
      <c r="J56" s="235">
        <f t="shared" si="36"/>
        <v>5644</v>
      </c>
      <c r="S56" s="4" t="s">
        <v>796</v>
      </c>
    </row>
    <row r="57" spans="3:19" ht="12.75" customHeight="1" x14ac:dyDescent="0.2"/>
    <row r="58" spans="3:19" ht="12.75" customHeight="1" x14ac:dyDescent="0.2">
      <c r="C58" s="200" t="s">
        <v>8</v>
      </c>
      <c r="D58" s="203" t="s">
        <v>797</v>
      </c>
      <c r="E58" s="215"/>
      <c r="F58" s="215"/>
      <c r="G58" s="215"/>
      <c r="H58" s="215"/>
      <c r="I58" s="215"/>
      <c r="J58" s="215"/>
      <c r="K58" s="215"/>
      <c r="L58" s="215"/>
      <c r="M58" s="215"/>
      <c r="N58" s="215"/>
      <c r="O58" s="215"/>
      <c r="P58" s="215"/>
      <c r="Q58" s="215"/>
      <c r="R58" s="215"/>
      <c r="S58" s="215"/>
    </row>
    <row r="59" spans="3:19" ht="12.75" customHeight="1" x14ac:dyDescent="0.2">
      <c r="E59" s="64" t="s">
        <v>798</v>
      </c>
      <c r="F59" s="64" t="s">
        <v>799</v>
      </c>
      <c r="G59" s="64" t="s">
        <v>800</v>
      </c>
      <c r="H59" s="250">
        <v>46295</v>
      </c>
    </row>
    <row r="60" spans="3:19" ht="12.75" customHeight="1" x14ac:dyDescent="0.2">
      <c r="D60" s="4" t="s">
        <v>801</v>
      </c>
      <c r="E60" s="181">
        <v>3141</v>
      </c>
      <c r="F60" s="181">
        <v>17388</v>
      </c>
      <c r="G60" s="245">
        <v>112389</v>
      </c>
      <c r="H60" s="8">
        <v>95562</v>
      </c>
      <c r="S60" s="4" t="s">
        <v>1079</v>
      </c>
    </row>
    <row r="61" spans="3:19" ht="12.75" customHeight="1" x14ac:dyDescent="0.2">
      <c r="D61" s="4" t="s">
        <v>254</v>
      </c>
      <c r="E61" s="181">
        <v>0</v>
      </c>
      <c r="F61" s="181">
        <v>2889</v>
      </c>
      <c r="G61" s="245">
        <v>19262</v>
      </c>
      <c r="H61" s="8">
        <v>36283</v>
      </c>
      <c r="S61" s="4" t="s">
        <v>1079</v>
      </c>
    </row>
    <row r="62" spans="3:19" ht="12.75" customHeight="1" x14ac:dyDescent="0.2">
      <c r="D62" s="4" t="s">
        <v>802</v>
      </c>
      <c r="E62" s="181">
        <v>13</v>
      </c>
      <c r="F62" s="181">
        <v>13</v>
      </c>
      <c r="G62" s="245">
        <v>2529</v>
      </c>
      <c r="H62" s="8">
        <v>2540</v>
      </c>
      <c r="S62" s="4" t="s">
        <v>1080</v>
      </c>
    </row>
    <row r="63" spans="3:19" ht="12.75" customHeight="1" x14ac:dyDescent="0.2">
      <c r="D63" s="4" t="s">
        <v>803</v>
      </c>
      <c r="E63" s="181">
        <v>95</v>
      </c>
      <c r="F63" s="181">
        <v>909</v>
      </c>
      <c r="G63" s="245">
        <v>5833</v>
      </c>
      <c r="H63" s="8">
        <v>7892</v>
      </c>
      <c r="S63" s="4" t="s">
        <v>121</v>
      </c>
    </row>
    <row r="64" spans="3:19" ht="12.75" customHeight="1" x14ac:dyDescent="0.2">
      <c r="D64" s="4" t="s">
        <v>804</v>
      </c>
      <c r="E64" s="181">
        <v>7752</v>
      </c>
      <c r="F64" s="181">
        <v>24661</v>
      </c>
      <c r="G64" s="245">
        <v>147358</v>
      </c>
      <c r="H64" s="8">
        <v>154320</v>
      </c>
      <c r="S64" s="4" t="s">
        <v>121</v>
      </c>
    </row>
    <row r="65" spans="4:19" ht="12.75" customHeight="1" x14ac:dyDescent="0.2">
      <c r="D65" s="4" t="s">
        <v>805</v>
      </c>
      <c r="E65" s="181">
        <v>14116</v>
      </c>
      <c r="F65" s="181">
        <v>41677</v>
      </c>
      <c r="G65" s="245">
        <v>108566</v>
      </c>
      <c r="H65" s="8">
        <v>130502</v>
      </c>
      <c r="S65" s="4" t="s">
        <v>121</v>
      </c>
    </row>
    <row r="66" spans="4:19" ht="12.75" customHeight="1" x14ac:dyDescent="0.2">
      <c r="D66" s="4" t="s">
        <v>806</v>
      </c>
      <c r="E66" s="181">
        <v>14679</v>
      </c>
      <c r="F66" s="181">
        <v>45397</v>
      </c>
      <c r="G66" s="245">
        <v>117467</v>
      </c>
      <c r="H66" s="8">
        <v>146683</v>
      </c>
      <c r="S66" s="4" t="s">
        <v>121</v>
      </c>
    </row>
    <row r="67" spans="4:19" ht="12.75" customHeight="1" x14ac:dyDescent="0.2">
      <c r="D67" s="4" t="s">
        <v>807</v>
      </c>
      <c r="E67" s="181">
        <v>28</v>
      </c>
      <c r="F67" s="181">
        <v>269</v>
      </c>
      <c r="G67" s="245">
        <v>1650</v>
      </c>
      <c r="H67" s="8">
        <v>1971</v>
      </c>
      <c r="S67" s="4" t="s">
        <v>121</v>
      </c>
    </row>
    <row r="68" spans="4:19" ht="12.75" customHeight="1" x14ac:dyDescent="0.2">
      <c r="D68" s="4" t="s">
        <v>808</v>
      </c>
      <c r="G68" s="245">
        <v>6203</v>
      </c>
      <c r="H68" s="8">
        <v>6203</v>
      </c>
      <c r="S68" s="4" t="s">
        <v>988</v>
      </c>
    </row>
    <row r="69" spans="4:19" ht="12.75" customHeight="1" x14ac:dyDescent="0.2">
      <c r="D69" s="4" t="s">
        <v>809</v>
      </c>
      <c r="G69" s="245">
        <v>443</v>
      </c>
      <c r="H69" s="8">
        <v>1674</v>
      </c>
      <c r="S69" s="4" t="s">
        <v>989</v>
      </c>
    </row>
    <row r="70" spans="4:19" ht="12.75" customHeight="1" x14ac:dyDescent="0.2">
      <c r="D70" s="4" t="s">
        <v>810</v>
      </c>
      <c r="G70" s="245">
        <v>10800</v>
      </c>
      <c r="H70" s="77">
        <v>13800</v>
      </c>
      <c r="S70" s="4" t="s">
        <v>1081</v>
      </c>
    </row>
    <row r="71" spans="4:19" ht="12.75" customHeight="1" x14ac:dyDescent="0.2">
      <c r="D71" s="11" t="s">
        <v>811</v>
      </c>
      <c r="E71" s="247">
        <f>E60+E61</f>
        <v>3141</v>
      </c>
      <c r="F71" s="247">
        <f>F60+F61</f>
        <v>20277</v>
      </c>
      <c r="G71" s="247">
        <f>G60+G61</f>
        <v>131651</v>
      </c>
      <c r="H71" s="235">
        <f>H60+H61</f>
        <v>131845</v>
      </c>
      <c r="S71" s="4" t="s">
        <v>812</v>
      </c>
    </row>
    <row r="72" spans="4:19" ht="12.75" customHeight="1" x14ac:dyDescent="0.2">
      <c r="D72" s="63" t="s">
        <v>813</v>
      </c>
      <c r="E72" s="86">
        <f>E71+E62</f>
        <v>3154</v>
      </c>
      <c r="F72" s="86">
        <f>F71+F62</f>
        <v>20290</v>
      </c>
      <c r="G72" s="86">
        <f>G71+G62</f>
        <v>134180</v>
      </c>
      <c r="H72" s="86">
        <f>H71+H62</f>
        <v>134385</v>
      </c>
      <c r="S72" s="4" t="s">
        <v>2206</v>
      </c>
    </row>
  </sheetData>
  <pageMargins left="0.75" right="0.75" top="1" bottom="1" header="0.5" footer="0.5"/>
  <pageSetup scale="53" fitToHeight="0" orientation="landscape"/>
  <headerFooter>
    <oddFooter>&amp;C&amp;A, page &amp;P of &amp;N</oddFooter>
  </headerFooter>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A6A6A6"/>
    <pageSetUpPr fitToPage="1"/>
  </sheetPr>
  <dimension ref="A1:J114"/>
  <sheetViews>
    <sheetView showGridLines="0" zoomScale="85" workbookViewId="0">
      <pane xSplit="5" ySplit="12" topLeftCell="F90" activePane="bottomRight" state="frozenSplit"/>
      <selection pane="topRight" activeCell="F1" sqref="F1"/>
      <selection pane="bottomLeft" activeCell="A13" sqref="A13"/>
      <selection pane="bottomRight" activeCell="E105" sqref="E105:J105"/>
    </sheetView>
  </sheetViews>
  <sheetFormatPr defaultRowHeight="12.75" x14ac:dyDescent="0.2"/>
  <cols>
    <col min="1" max="3" width="2.7109375" style="10" customWidth="1"/>
    <col min="4" max="4" width="5.7109375" style="10" customWidth="1"/>
    <col min="5" max="5" width="90.7109375" style="23" customWidth="1"/>
    <col min="6" max="6" width="9.7109375" style="23" customWidth="1"/>
    <col min="7" max="8" width="14.7109375" style="23" customWidth="1"/>
    <col min="9" max="9" width="10.7109375" style="23" customWidth="1"/>
    <col min="10" max="10" width="44.7109375" style="23" customWidth="1"/>
    <col min="11" max="16384" width="9.140625" style="10"/>
  </cols>
  <sheetData>
    <row r="1" spans="1:10" ht="12.75" customHeight="1" x14ac:dyDescent="0.25">
      <c r="A1" s="218" t="s">
        <v>2148</v>
      </c>
    </row>
    <row r="2" spans="1:10" ht="12.75" customHeight="1" x14ac:dyDescent="0.2">
      <c r="A2" s="219" t="s">
        <v>24</v>
      </c>
    </row>
    <row r="3" spans="1:10" ht="12.75" customHeight="1" x14ac:dyDescent="0.2">
      <c r="A3" s="220" t="s">
        <v>692</v>
      </c>
    </row>
    <row r="4" spans="1:10" ht="12.75" customHeight="1" x14ac:dyDescent="0.2">
      <c r="A4" s="214"/>
      <c r="B4" s="214"/>
      <c r="C4" s="214"/>
      <c r="D4" s="214"/>
      <c r="E4" s="303"/>
      <c r="F4" s="303"/>
      <c r="G4" s="303"/>
    </row>
    <row r="6" spans="1:10" x14ac:dyDescent="0.2">
      <c r="B6" s="5" t="s">
        <v>8</v>
      </c>
      <c r="C6" s="5" t="s">
        <v>8</v>
      </c>
      <c r="D6" s="6" t="s">
        <v>877</v>
      </c>
      <c r="E6" s="26"/>
      <c r="F6" s="26"/>
      <c r="G6" s="26"/>
      <c r="H6" s="26"/>
      <c r="I6" s="26"/>
      <c r="J6" s="26"/>
    </row>
    <row r="7" spans="1:10" x14ac:dyDescent="0.2">
      <c r="E7" s="31" t="s">
        <v>878</v>
      </c>
      <c r="F7" s="49">
        <v>0.5</v>
      </c>
    </row>
    <row r="8" spans="1:10" x14ac:dyDescent="0.2">
      <c r="E8" s="31" t="s">
        <v>879</v>
      </c>
      <c r="F8" s="304">
        <v>1E-3</v>
      </c>
    </row>
    <row r="9" spans="1:10" x14ac:dyDescent="0.2">
      <c r="E9" s="31" t="s">
        <v>880</v>
      </c>
      <c r="F9" s="305">
        <v>9.9999999999999995E-7</v>
      </c>
    </row>
    <row r="12" spans="1:10" x14ac:dyDescent="0.2">
      <c r="D12" s="198" t="s">
        <v>59</v>
      </c>
      <c r="E12" s="306" t="s">
        <v>518</v>
      </c>
      <c r="F12" s="306" t="s">
        <v>693</v>
      </c>
      <c r="G12" s="306" t="s">
        <v>694</v>
      </c>
      <c r="H12" s="306" t="s">
        <v>881</v>
      </c>
      <c r="I12" s="306" t="s">
        <v>882</v>
      </c>
      <c r="J12" s="306" t="s">
        <v>883</v>
      </c>
    </row>
    <row r="13" spans="1:10" x14ac:dyDescent="0.2">
      <c r="E13" s="306" t="s">
        <v>695</v>
      </c>
    </row>
    <row r="14" spans="1:10" x14ac:dyDescent="0.2">
      <c r="D14" s="86">
        <v>1</v>
      </c>
      <c r="E14" s="31" t="s">
        <v>696</v>
      </c>
      <c r="F14" s="31" t="b">
        <f>SUMPRODUCT(ABS(Historicals!E15:J15-Historicals!E16:J16))+SUMPRODUCT(ABS(Historicals!K15:Q15-Historicals!K16:Q16))&lt;tolM</f>
        <v>1</v>
      </c>
      <c r="G14" s="239">
        <f>SUMPRODUCT(ABS(Historicals!E15:J15-Historicals!E16:J16))+SUMPRODUCT(ABS(Historicals!K15:Q15-Historicals!K16:Q16))</f>
        <v>0</v>
      </c>
    </row>
    <row r="15" spans="1:10" x14ac:dyDescent="0.2">
      <c r="D15" s="86">
        <v>2</v>
      </c>
      <c r="E15" s="31" t="s">
        <v>697</v>
      </c>
      <c r="F15" s="31" t="b">
        <f>SUMPRODUCT(ABS(Historicals!E21:J21-Historicals!E22:J22))+SUMPRODUCT(ABS(Historicals!K21:Q21-Historicals!K22:Q22))&lt;tolM</f>
        <v>1</v>
      </c>
      <c r="G15" s="239">
        <f>SUMPRODUCT(ABS(Historicals!E21:J21-Historicals!E22:J22))+SUMPRODUCT(ABS(Historicals!K21:Q21-Historicals!K22:Q22))</f>
        <v>0</v>
      </c>
    </row>
    <row r="16" spans="1:10" x14ac:dyDescent="0.2">
      <c r="D16" s="86">
        <v>3</v>
      </c>
      <c r="E16" s="31" t="s">
        <v>698</v>
      </c>
      <c r="F16" s="31" t="b">
        <f>SUMPRODUCT(ABS(Historicals!E8:J8+Historicals!E9:J9-Historicals!E7:J7))&lt;tolM</f>
        <v>1</v>
      </c>
      <c r="G16" s="239">
        <f>SUMPRODUCT(ABS(Historicals!E8:J8+Historicals!E9:J9-Historicals!E7:J7))</f>
        <v>0</v>
      </c>
    </row>
    <row r="17" spans="4:10" x14ac:dyDescent="0.2">
      <c r="D17" s="86">
        <v>4</v>
      </c>
      <c r="E17" s="31" t="s">
        <v>699</v>
      </c>
      <c r="F17" s="31" t="b">
        <f>SUMPRODUCT(ABS(Historicals!E43:J43))&lt;tolM</f>
        <v>1</v>
      </c>
      <c r="G17" s="239">
        <f>SUMPRODUCT(ABS(Historicals!E43:J43))</f>
        <v>0</v>
      </c>
    </row>
    <row r="18" spans="4:10" x14ac:dyDescent="0.2">
      <c r="D18" s="86">
        <v>5</v>
      </c>
      <c r="E18" s="31" t="s">
        <v>700</v>
      </c>
      <c r="F18" s="31" t="b">
        <f>ABS(Historicals!O7+Historicals!P7-Historicals!I7)+SUMPRODUCT(ABS(Historicals!O10:O14+Historicals!P10:P14-Historicals!I10:I14))&lt;tolM</f>
        <v>1</v>
      </c>
      <c r="G18" s="239">
        <f>ABS(Historicals!O7+Historicals!P7-Historicals!I7)+SUMPRODUCT(ABS(Historicals!O10:O14+Historicals!P10:P14-Historicals!I10:I14))</f>
        <v>0</v>
      </c>
    </row>
    <row r="19" spans="4:10" x14ac:dyDescent="0.2">
      <c r="D19" s="86">
        <v>6</v>
      </c>
      <c r="E19" s="31" t="s">
        <v>1022</v>
      </c>
      <c r="F19" s="31" t="b">
        <f>ABS(Historicals!I7+Historicals!Q7-Historicals!J7)+SUMPRODUCT(ABS(Historicals!I10:I14+Historicals!Q10:Q14-Historicals!J10:J14))&lt;tolM</f>
        <v>1</v>
      </c>
      <c r="G19" s="239">
        <f>ABS(Historicals!I7+Historicals!Q7-Historicals!J7)+SUMPRODUCT(ABS(Historicals!I10:I14+Historicals!Q10:Q14-Historicals!J10:J14))</f>
        <v>0</v>
      </c>
    </row>
    <row r="20" spans="4:10" x14ac:dyDescent="0.2">
      <c r="D20" s="86">
        <v>7</v>
      </c>
      <c r="E20" s="31" t="s">
        <v>701</v>
      </c>
      <c r="F20" s="31" t="b">
        <f>ABS(Historicals!K7+Historicals!L7-Historicals!H7)+SUMPRODUCT(ABS(Historicals!K10:K14+Historicals!L10:L14-Historicals!H10:H14))&lt;tolM</f>
        <v>1</v>
      </c>
      <c r="G20" s="239">
        <f>ABS(Historicals!K7+Historicals!L7-Historicals!H7)+SUMPRODUCT(ABS(Historicals!K10:K14+Historicals!L10:L14-Historicals!H10:H14))</f>
        <v>0</v>
      </c>
    </row>
    <row r="21" spans="4:10" x14ac:dyDescent="0.2">
      <c r="D21" s="86">
        <v>8</v>
      </c>
      <c r="E21" s="31" t="s">
        <v>702</v>
      </c>
      <c r="F21" s="31" t="b">
        <f>ABS(SUM(Historicals!K7:N7)-Historicals!G7)+SUMPRODUCT(ABS(Historicals!K10:K14+Historicals!L10:L14+Historicals!M10:M14+Historicals!N10:N14-Historicals!G10:G14))&lt;tolM</f>
        <v>1</v>
      </c>
      <c r="G21" s="239">
        <f>ABS(SUM(Historicals!K7:N7)-Historicals!G7)+SUMPRODUCT(ABS(Historicals!K10:K14+Historicals!L10:L14+Historicals!M10:M14+Historicals!N10:N14-Historicals!G10:G14))</f>
        <v>0</v>
      </c>
    </row>
    <row r="22" spans="4:10" x14ac:dyDescent="0.2">
      <c r="D22" s="86">
        <v>9</v>
      </c>
      <c r="E22" s="31" t="s">
        <v>703</v>
      </c>
      <c r="F22" s="31" t="b">
        <f>ABS(Historicals!I56-H22)&lt;=I22</f>
        <v>1</v>
      </c>
      <c r="G22" s="307">
        <f>Historicals!I56</f>
        <v>3447</v>
      </c>
      <c r="H22" s="57">
        <v>3447</v>
      </c>
      <c r="I22" s="51">
        <v>0</v>
      </c>
      <c r="J22" s="31" t="s">
        <v>884</v>
      </c>
    </row>
    <row r="23" spans="4:10" x14ac:dyDescent="0.2">
      <c r="D23" s="86">
        <v>10</v>
      </c>
      <c r="E23" s="31" t="s">
        <v>704</v>
      </c>
      <c r="F23" s="31" t="b">
        <f>ABS(Historicals!G71-H23)&lt;=I23</f>
        <v>1</v>
      </c>
      <c r="G23" s="307">
        <f>Historicals!G71</f>
        <v>131651</v>
      </c>
      <c r="H23" s="57">
        <v>131651</v>
      </c>
      <c r="I23" s="51">
        <v>0</v>
      </c>
      <c r="J23" s="31" t="s">
        <v>103</v>
      </c>
    </row>
    <row r="24" spans="4:10" ht="25.5" x14ac:dyDescent="0.2">
      <c r="D24" s="86">
        <v>11</v>
      </c>
      <c r="E24" s="31" t="s">
        <v>1072</v>
      </c>
      <c r="F24" s="31" t="b">
        <f>ABS(Historicals!H71-H24)&lt;=I24</f>
        <v>1</v>
      </c>
      <c r="G24" s="307">
        <f>Historicals!H71</f>
        <v>131845</v>
      </c>
      <c r="H24" s="57">
        <v>131900</v>
      </c>
      <c r="I24" s="51">
        <v>100</v>
      </c>
      <c r="J24" s="36" t="s">
        <v>1073</v>
      </c>
    </row>
    <row r="25" spans="4:10" x14ac:dyDescent="0.2">
      <c r="D25" s="86">
        <v>12</v>
      </c>
      <c r="E25" s="31" t="s">
        <v>1021</v>
      </c>
      <c r="F25" s="31" t="b">
        <f>ABS(Historicals!$Q$7-H25)&lt;=I25</f>
        <v>1</v>
      </c>
      <c r="G25" s="307">
        <f>Historicals!$Q$7</f>
        <v>16956</v>
      </c>
      <c r="H25" s="57">
        <f>Inputs!$K$93*Inputs!$K$94</f>
        <v>16942</v>
      </c>
      <c r="I25" s="51">
        <f>Inputs!$K$93/2</f>
        <v>98.5</v>
      </c>
      <c r="J25" s="31" t="s">
        <v>1074</v>
      </c>
    </row>
    <row r="26" spans="4:10" x14ac:dyDescent="0.2">
      <c r="D26" s="86">
        <v>13</v>
      </c>
      <c r="E26" s="31" t="s">
        <v>962</v>
      </c>
      <c r="F26" s="31" t="b">
        <f>ABS('Compute Commitments'!F47-H26)&lt;=I26</f>
        <v>1</v>
      </c>
      <c r="G26" s="307">
        <f>'Compute Commitments'!F47</f>
        <v>643.79999999999995</v>
      </c>
      <c r="H26" s="33">
        <v>643.79999999999995</v>
      </c>
      <c r="I26" s="49">
        <v>0.05</v>
      </c>
      <c r="J26" s="31" t="s">
        <v>1084</v>
      </c>
    </row>
    <row r="27" spans="4:10" ht="25.5" x14ac:dyDescent="0.2">
      <c r="D27" s="86">
        <v>14</v>
      </c>
      <c r="E27" s="36" t="s">
        <v>2018</v>
      </c>
      <c r="F27" s="31" t="b">
        <f>ABS('Compute Commitments'!F71-H27)&lt;=I27</f>
        <v>1</v>
      </c>
      <c r="G27" s="307">
        <f>'Compute Commitments'!F71</f>
        <v>895.39300000000003</v>
      </c>
      <c r="H27" s="33">
        <f>'Filing Data'!$I$48</f>
        <v>895.4</v>
      </c>
      <c r="I27" s="49">
        <v>0.05</v>
      </c>
      <c r="J27" s="31" t="s">
        <v>1067</v>
      </c>
    </row>
    <row r="28" spans="4:10" ht="25.5" x14ac:dyDescent="0.2">
      <c r="D28" s="86">
        <v>15</v>
      </c>
      <c r="E28" s="31" t="s">
        <v>1037</v>
      </c>
      <c r="F28" s="31" t="b">
        <f>ABS('Compute Commitments'!H75-H28)&lt;=I28</f>
        <v>1</v>
      </c>
      <c r="G28" s="22">
        <f>'Compute Commitments'!H75</f>
        <v>0.92684326404155493</v>
      </c>
      <c r="H28" s="56">
        <v>1</v>
      </c>
      <c r="I28" s="50">
        <v>0.1</v>
      </c>
      <c r="J28" s="36" t="s">
        <v>1075</v>
      </c>
    </row>
    <row r="29" spans="4:10" ht="25.5" x14ac:dyDescent="0.2">
      <c r="D29" s="86">
        <v>16</v>
      </c>
      <c r="E29" s="31" t="s">
        <v>1038</v>
      </c>
      <c r="F29" s="31" t="b">
        <f>ABS('Compute Commitments'!H76-H29)&lt;=I29</f>
        <v>1</v>
      </c>
      <c r="G29" s="22">
        <f>'Compute Commitments'!H76</f>
        <v>1.055621785568122</v>
      </c>
      <c r="H29" s="56">
        <v>1</v>
      </c>
      <c r="I29" s="50">
        <v>0.1</v>
      </c>
      <c r="J29" s="36" t="s">
        <v>1076</v>
      </c>
    </row>
    <row r="30" spans="4:10" x14ac:dyDescent="0.2">
      <c r="D30" s="86">
        <v>17</v>
      </c>
      <c r="E30" s="31" t="s">
        <v>705</v>
      </c>
      <c r="F30" s="31" t="b">
        <f>ABS('Compute Commitments'!F46-H30)&lt;=I30</f>
        <v>1</v>
      </c>
      <c r="G30" s="307">
        <f>'Compute Commitments'!F46</f>
        <v>66.601784671056862</v>
      </c>
      <c r="H30" s="33">
        <v>66</v>
      </c>
      <c r="I30" s="49">
        <v>1</v>
      </c>
      <c r="J30" s="31" t="s">
        <v>2207</v>
      </c>
    </row>
    <row r="31" spans="4:10" x14ac:dyDescent="0.2">
      <c r="D31" s="86">
        <v>18</v>
      </c>
      <c r="E31" s="31" t="s">
        <v>706</v>
      </c>
      <c r="F31" s="31" t="b">
        <f>ABS('Dilution Calcs'!I21-H31)&lt;=I31</f>
        <v>1</v>
      </c>
      <c r="G31" s="307">
        <f>'Dilution Calcs'!I21</f>
        <v>-1.0237999995297287E-2</v>
      </c>
      <c r="H31" s="308">
        <v>0</v>
      </c>
      <c r="I31" s="54">
        <v>1</v>
      </c>
      <c r="J31" s="31" t="s">
        <v>885</v>
      </c>
    </row>
    <row r="32" spans="4:10" x14ac:dyDescent="0.2">
      <c r="D32" s="86">
        <v>19</v>
      </c>
      <c r="E32" s="31" t="s">
        <v>707</v>
      </c>
      <c r="F32" s="31" t="b">
        <f>ABS('Dilution Calcs'!I25-H32)&lt;=I32</f>
        <v>1</v>
      </c>
      <c r="G32" s="307">
        <f>'Dilution Calcs'!I25</f>
        <v>0</v>
      </c>
      <c r="H32" s="308">
        <v>0</v>
      </c>
      <c r="I32" s="54">
        <v>0.01</v>
      </c>
      <c r="J32" s="31" t="s">
        <v>886</v>
      </c>
    </row>
    <row r="33" spans="4:10" x14ac:dyDescent="0.2">
      <c r="D33" s="86">
        <v>20</v>
      </c>
      <c r="E33" s="31" t="s">
        <v>708</v>
      </c>
      <c r="F33" s="31" t="b">
        <f>ABS('Dilution Calcs'!I20/MperB-H33)&lt;=I33</f>
        <v>1</v>
      </c>
      <c r="G33" s="307">
        <f>'Dilution Calcs'!I20/MperB</f>
        <v>16.936819199999999</v>
      </c>
      <c r="H33" s="308">
        <v>16.940000000000001</v>
      </c>
      <c r="I33" s="54">
        <v>5.0000000000000001E-3</v>
      </c>
      <c r="J33" s="31" t="s">
        <v>887</v>
      </c>
    </row>
    <row r="34" spans="4:10" x14ac:dyDescent="0.2">
      <c r="D34" s="86">
        <v>21</v>
      </c>
      <c r="E34" s="31" t="s">
        <v>2208</v>
      </c>
      <c r="F34" s="31" t="b">
        <f>ABS('Dilution Calcs'!I95-H34)&lt;=I34</f>
        <v>1</v>
      </c>
      <c r="G34" s="307">
        <f>'Dilution Calcs'!I95</f>
        <v>0.20573195715521367</v>
      </c>
      <c r="H34" s="56">
        <v>0.20599999999999999</v>
      </c>
      <c r="I34" s="50">
        <v>5.0000000000000001E-3</v>
      </c>
      <c r="J34" s="31" t="s">
        <v>2209</v>
      </c>
    </row>
    <row r="35" spans="4:10" x14ac:dyDescent="0.2">
      <c r="D35" s="86">
        <v>22</v>
      </c>
      <c r="E35" s="31" t="s">
        <v>709</v>
      </c>
      <c r="F35" s="31" t="b">
        <f>ABS('Dilution Calcs'!I32-H35)&lt;=I35</f>
        <v>1</v>
      </c>
      <c r="G35" s="307">
        <f>'Dilution Calcs'!I32</f>
        <v>58.900950000000002</v>
      </c>
      <c r="H35" s="308">
        <v>58.9</v>
      </c>
      <c r="I35" s="54">
        <v>5.0000000000000001E-3</v>
      </c>
      <c r="J35" s="31" t="s">
        <v>888</v>
      </c>
    </row>
    <row r="36" spans="4:10" x14ac:dyDescent="0.2">
      <c r="D36" s="86">
        <v>23</v>
      </c>
      <c r="E36" s="31" t="s">
        <v>2210</v>
      </c>
      <c r="F36" s="31" t="b">
        <f>ABS('Reverse Valuation'!E18-H36)&lt;=I36</f>
        <v>1</v>
      </c>
      <c r="G36" s="307">
        <f>'Reverse Valuation'!E18</f>
        <v>0.31669672465083898</v>
      </c>
      <c r="H36" s="56">
        <v>0.317</v>
      </c>
      <c r="I36" s="50">
        <v>1E-3</v>
      </c>
      <c r="J36" s="31" t="s">
        <v>2211</v>
      </c>
    </row>
    <row r="37" spans="4:10" x14ac:dyDescent="0.2">
      <c r="D37" s="86">
        <v>24</v>
      </c>
      <c r="E37" s="31" t="s">
        <v>2212</v>
      </c>
      <c r="F37" s="31" t="b">
        <f>ABS('Reverse Valuation'!G18-H37)&lt;=I37</f>
        <v>1</v>
      </c>
      <c r="G37" s="307">
        <f>'Reverse Valuation'!G18</f>
        <v>0.50787587820592095</v>
      </c>
      <c r="H37" s="56">
        <v>0.50800000000000001</v>
      </c>
      <c r="I37" s="50">
        <v>1E-3</v>
      </c>
      <c r="J37" s="31" t="s">
        <v>2211</v>
      </c>
    </row>
    <row r="38" spans="4:10" x14ac:dyDescent="0.2">
      <c r="D38" s="86">
        <v>25</v>
      </c>
      <c r="E38" s="31" t="s">
        <v>891</v>
      </c>
      <c r="F38" s="31" t="b">
        <f>ABS('Reverse Valuation'!H18-H38)&lt;=I38</f>
        <v>1</v>
      </c>
      <c r="G38" s="307">
        <f>'Reverse Valuation'!H18</f>
        <v>0.39467656218105196</v>
      </c>
      <c r="H38" s="56">
        <v>0.39500000000000002</v>
      </c>
      <c r="I38" s="50">
        <v>1E-3</v>
      </c>
      <c r="J38" s="31" t="s">
        <v>2211</v>
      </c>
    </row>
    <row r="39" spans="4:10" x14ac:dyDescent="0.2">
      <c r="D39" s="86">
        <v>26</v>
      </c>
      <c r="E39" s="31" t="s">
        <v>892</v>
      </c>
      <c r="F39" s="31" t="b">
        <f>ABS('Reverse Valuation'!J18-H39)&lt;=I39</f>
        <v>1</v>
      </c>
      <c r="G39" s="307">
        <f>'Reverse Valuation'!J18</f>
        <v>0.59717807953812674</v>
      </c>
      <c r="H39" s="59">
        <v>0.59699999999999998</v>
      </c>
      <c r="I39" s="60">
        <v>1E-3</v>
      </c>
      <c r="J39" s="31" t="s">
        <v>2211</v>
      </c>
    </row>
    <row r="41" spans="4:10" x14ac:dyDescent="0.2">
      <c r="E41" s="306" t="s">
        <v>710</v>
      </c>
    </row>
    <row r="42" spans="4:10" x14ac:dyDescent="0.2">
      <c r="D42" s="86">
        <v>27</v>
      </c>
      <c r="E42" s="31" t="s">
        <v>1041</v>
      </c>
      <c r="F42" s="31" t="b">
        <f>ABS('Compute Commitments'!F34-('Compute Commitments'!$F$71+'Compute Commitments'!F39+'Compute Commitments'!F40))&lt;tolB</f>
        <v>1</v>
      </c>
      <c r="G42" s="307">
        <f>'Compute Commitments'!F34</f>
        <v>1143.8189999999986</v>
      </c>
    </row>
    <row r="43" spans="4:10" x14ac:dyDescent="0.2">
      <c r="D43" s="86">
        <v>28</v>
      </c>
      <c r="E43" s="31" t="s">
        <v>711</v>
      </c>
      <c r="F43" s="31" t="b">
        <f>ABS('Dilution Calcs'!I53)&lt;tolB</f>
        <v>1</v>
      </c>
      <c r="G43" s="307">
        <f>'Dilution Calcs'!I53</f>
        <v>0</v>
      </c>
    </row>
    <row r="44" spans="4:10" x14ac:dyDescent="0.2">
      <c r="D44" s="86">
        <v>29</v>
      </c>
      <c r="E44" s="31" t="s">
        <v>712</v>
      </c>
      <c r="F44" s="31" t="b">
        <f>ABS('Tax Schedule'!F10-'Dilution Calcs'!I24)&lt;tolB</f>
        <v>1</v>
      </c>
      <c r="G44" s="307">
        <f>'Tax Schedule'!F10</f>
        <v>1049.6309999999999</v>
      </c>
    </row>
    <row r="45" spans="4:10" x14ac:dyDescent="0.2">
      <c r="D45" s="86">
        <v>30</v>
      </c>
      <c r="E45" s="31" t="s">
        <v>1042</v>
      </c>
      <c r="F45" s="31" t="b">
        <f>AND(ABS('Tax Schedule'!F12-'Dilution Calcs'!I40)&lt;tolB,ABS('Tax Schedule'!F13-'Dilution Calcs'!I121)&lt;tolB)</f>
        <v>1</v>
      </c>
      <c r="G45" s="307">
        <f>'Tax Schedule'!F13</f>
        <v>1774.3430000000001</v>
      </c>
    </row>
    <row r="46" spans="4:10" x14ac:dyDescent="0.2">
      <c r="D46" s="86">
        <v>31</v>
      </c>
      <c r="E46" s="31" t="s">
        <v>713</v>
      </c>
      <c r="F46" s="31" t="b">
        <f>AND(ABS('Compute Commitments'!AG44-'Compute Commitments'!$F$53)&lt;tolB,ABS('Compute Commitments'!AG45-'Compute Commitments'!$F$53*'Compute Commitments'!$F$69)&lt;tolB)</f>
        <v>1</v>
      </c>
      <c r="G46" s="307">
        <f>'Compute Commitments'!AG45</f>
        <v>29.372640845635431</v>
      </c>
    </row>
    <row r="47" spans="4:10" x14ac:dyDescent="0.2">
      <c r="D47" s="86">
        <v>32</v>
      </c>
      <c r="E47" s="31" t="s">
        <v>714</v>
      </c>
      <c r="F47" s="31" t="b">
        <f>ABS(DCF!E56-Model!$F$99)&lt;tolX</f>
        <v>1</v>
      </c>
      <c r="G47" s="239">
        <f>DCF!E56-Model!$F$99</f>
        <v>0</v>
      </c>
    </row>
    <row r="48" spans="4:10" x14ac:dyDescent="0.2">
      <c r="D48" s="86">
        <v>33</v>
      </c>
      <c r="E48" s="31" t="s">
        <v>715</v>
      </c>
      <c r="F48" s="31" t="b">
        <f>ABS(G48)&lt;tolB</f>
        <v>1</v>
      </c>
      <c r="G48" s="239">
        <f>Model!$F$99-IF(Inputs!$K$37=6,Sensitivities!$K$17,INDEX(Sensitivities!$F$17:$J$17,Inputs!$K$5))</f>
        <v>0</v>
      </c>
    </row>
    <row r="49" spans="4:10" x14ac:dyDescent="0.2">
      <c r="D49" s="86">
        <v>34</v>
      </c>
      <c r="E49" s="31" t="s">
        <v>716</v>
      </c>
      <c r="F49" s="31" t="b">
        <f>COUNTA(Sensitivities!$E$114:$E$120,Sensitivities!$E$7:$E$12,'Reverse Valuation'!$E$22,Sensitivities!$E$479:$E$480,Sensitivities!$E$495)=0</f>
        <v>1</v>
      </c>
      <c r="G49" s="239">
        <f>COUNTA(Sensitivities!$E$114:$E$120,Sensitivities!$E$7:$E$12,'Reverse Valuation'!$E$22,Sensitivities!$E$479:$E$480,Sensitivities!$E$495)</f>
        <v>0</v>
      </c>
    </row>
    <row r="50" spans="4:10" x14ac:dyDescent="0.2">
      <c r="D50" s="86">
        <v>35</v>
      </c>
      <c r="E50" s="31" t="s">
        <v>2006</v>
      </c>
      <c r="F50" s="31" t="b">
        <f>ABS(Sensitivities!$K$69-Model!$F$99)&lt;tolX</f>
        <v>1</v>
      </c>
      <c r="G50" s="239">
        <f>Sensitivities!$K$69-Model!$F$99</f>
        <v>0</v>
      </c>
    </row>
    <row r="51" spans="4:10" x14ac:dyDescent="0.2">
      <c r="D51" s="86">
        <v>36</v>
      </c>
      <c r="E51" s="31" t="s">
        <v>2007</v>
      </c>
      <c r="F51" s="31" t="b">
        <f>ABS(Sensitivities!$K$100-Model!$F$99)&lt;tolX</f>
        <v>1</v>
      </c>
      <c r="G51" s="239">
        <f>Sensitivities!$K$100-Model!$F$99</f>
        <v>0</v>
      </c>
    </row>
    <row r="52" spans="4:10" x14ac:dyDescent="0.2">
      <c r="D52" s="86">
        <v>37</v>
      </c>
      <c r="E52" s="31" t="s">
        <v>717</v>
      </c>
      <c r="F52" s="31" t="b">
        <f>MAX(ABS('Reverse Valuation'!E44),ABS('Reverse Valuation'!F44),ABS('Reverse Valuation'!G44),ABS('Reverse Valuation'!H44),ABS('Reverse Valuation'!I44),ABS('Reverse Valuation'!E50),ABS('Reverse Valuation'!F50),ABS('Reverse Valuation'!G50),ABS('Reverse Valuation'!H50),ABS('Reverse Valuation'!I50))&lt;=I52</f>
        <v>1</v>
      </c>
      <c r="G52" s="239">
        <f>MAX(ABS('Reverse Valuation'!E44),ABS('Reverse Valuation'!F44),ABS('Reverse Valuation'!G44),ABS('Reverse Valuation'!H44),ABS('Reverse Valuation'!I44),ABS('Reverse Valuation'!E50),ABS('Reverse Valuation'!F50),ABS('Reverse Valuation'!G50),ABS('Reverse Valuation'!H50),ABS('Reverse Valuation'!I50))</f>
        <v>1.2072132449247874E-7</v>
      </c>
      <c r="H52" s="37">
        <v>0</v>
      </c>
      <c r="I52" s="52">
        <v>0.5</v>
      </c>
      <c r="J52" s="31" t="s">
        <v>889</v>
      </c>
    </row>
    <row r="53" spans="4:10" x14ac:dyDescent="0.2">
      <c r="D53" s="86">
        <v>38</v>
      </c>
      <c r="E53" s="31" t="s">
        <v>1349</v>
      </c>
      <c r="F53" s="31" t="b">
        <f>IF(ISNUMBER(Sensitivities!$F$489),ABS(G53-H53)&lt;=I53,TRUE)</f>
        <v>1</v>
      </c>
      <c r="G53" s="239">
        <f>Sensitivities!$F$492</f>
        <v>1499.9999999999998</v>
      </c>
      <c r="H53" s="37">
        <f>Inputs!$K$256</f>
        <v>1500</v>
      </c>
      <c r="I53" s="52">
        <v>0.5</v>
      </c>
      <c r="J53" s="36" t="s">
        <v>2013</v>
      </c>
    </row>
    <row r="54" spans="4:10" x14ac:dyDescent="0.2">
      <c r="D54" s="86">
        <v>39</v>
      </c>
      <c r="E54" s="31" t="s">
        <v>1106</v>
      </c>
      <c r="F54" s="31" t="b">
        <f t="shared" ref="F54:F58" si="0">ABS(G54-H54)&lt;=I54</f>
        <v>1</v>
      </c>
      <c r="G54" s="82">
        <f>Model!$Q$45+Model!$Q$47+Model!$Q$51</f>
        <v>0.16499999999999998</v>
      </c>
      <c r="H54" s="59">
        <f>Model!$F$15+Model!$F$16+Model!$F$18</f>
        <v>0.16500000000000001</v>
      </c>
      <c r="I54" s="52">
        <v>1.0000000000000001E-5</v>
      </c>
      <c r="J54" s="31" t="s">
        <v>1107</v>
      </c>
    </row>
    <row r="55" spans="4:10" x14ac:dyDescent="0.2">
      <c r="D55" s="86">
        <v>40</v>
      </c>
      <c r="E55" s="36" t="s">
        <v>1373</v>
      </c>
      <c r="F55" s="31" t="b">
        <f>ABS(G55-H55)&lt;=I55</f>
        <v>1</v>
      </c>
      <c r="G55" s="309">
        <f>MAX(ABS('Revenue Engine'!$F$71-Inputs!$K$100),ABS('Revenue Engine'!$F$73-Inputs!$K$110),ABS('Revenue Engine'!$F$74-Inputs!$K$100+Inputs!$K$110),ABS('Revenue Engine'!$F$76-Inputs!$K$100*Inputs!$K$104),ABS('Revenue Engine'!$F$75-Inputs!$K$100*(1-Inputs!$K$104)))</f>
        <v>3.5527136788005009E-15</v>
      </c>
      <c r="H55" s="310">
        <v>0</v>
      </c>
      <c r="I55" s="52">
        <v>0.1</v>
      </c>
      <c r="J55" s="31" t="s">
        <v>2014</v>
      </c>
    </row>
    <row r="56" spans="4:10" x14ac:dyDescent="0.2">
      <c r="D56" s="86">
        <v>41</v>
      </c>
      <c r="E56" s="36" t="s">
        <v>1392</v>
      </c>
      <c r="F56" s="31" t="b">
        <f>ABS(G56-H56)&lt;=I56</f>
        <v>1</v>
      </c>
      <c r="G56" s="309">
        <f>SUMPRODUCT((Model!$I$36:$Q$36&gt;Model!$H$36:$P$36+0.0001)*1)+SUMPRODUCT(('Revenue Engine'!$H$72:$P$72&gt;'Revenue Engine'!$G$72:$O$72+0.0001)*1)</f>
        <v>0</v>
      </c>
      <c r="H56" s="310">
        <v>0</v>
      </c>
      <c r="I56" s="52">
        <v>0</v>
      </c>
      <c r="J56" s="31" t="s">
        <v>1372</v>
      </c>
    </row>
    <row r="57" spans="4:10" x14ac:dyDescent="0.2">
      <c r="D57" s="86">
        <v>42</v>
      </c>
      <c r="E57" s="36" t="s">
        <v>1393</v>
      </c>
      <c r="F57" s="31" t="b">
        <f>ABS(G57-H57)&lt;=I57</f>
        <v>1</v>
      </c>
      <c r="G57" s="309">
        <f>11-SUM('Revenue Engine'!$F$89:$P$89)</f>
        <v>0</v>
      </c>
      <c r="H57" s="310">
        <v>0</v>
      </c>
      <c r="I57" s="52">
        <v>0</v>
      </c>
      <c r="J57" s="31" t="s">
        <v>1332</v>
      </c>
    </row>
    <row r="58" spans="4:10" x14ac:dyDescent="0.2">
      <c r="D58" s="86">
        <v>43</v>
      </c>
      <c r="E58" s="31" t="s">
        <v>1445</v>
      </c>
      <c r="F58" s="31" t="b">
        <f t="shared" si="0"/>
        <v>1</v>
      </c>
      <c r="G58" s="183">
        <f>Sensitivities!$L$52</f>
        <v>1500.0010128120653</v>
      </c>
      <c r="H58" s="37">
        <f>Inputs!$K$256</f>
        <v>1500</v>
      </c>
      <c r="I58" s="52">
        <v>0.5</v>
      </c>
      <c r="J58" s="31" t="s">
        <v>1134</v>
      </c>
    </row>
    <row r="59" spans="4:10" x14ac:dyDescent="0.2">
      <c r="D59" s="86">
        <v>44</v>
      </c>
      <c r="E59" s="31" t="s">
        <v>1446</v>
      </c>
      <c r="F59" s="31" t="b">
        <f t="shared" ref="F59:F72" si="1">ABS(G59-H59)&lt;=I59</f>
        <v>1</v>
      </c>
      <c r="G59" s="183">
        <f>Sensitivities!$L$60</f>
        <v>194.85302775523087</v>
      </c>
      <c r="H59" s="37">
        <v>195</v>
      </c>
      <c r="I59" s="52">
        <v>5</v>
      </c>
      <c r="J59" s="31" t="s">
        <v>1447</v>
      </c>
    </row>
    <row r="60" spans="4:10" x14ac:dyDescent="0.2">
      <c r="D60" s="86">
        <v>45</v>
      </c>
      <c r="E60" s="31" t="s">
        <v>1448</v>
      </c>
      <c r="F60" s="31" t="b">
        <f t="shared" si="1"/>
        <v>1</v>
      </c>
      <c r="G60" s="261">
        <f>Model!$G$49</f>
        <v>0.13924274593064401</v>
      </c>
      <c r="H60" s="311">
        <f>Inputs!$K$144</f>
        <v>0.13924274593064401</v>
      </c>
      <c r="I60" s="52">
        <v>9.9999999999999995E-7</v>
      </c>
      <c r="J60" s="31" t="s">
        <v>2015</v>
      </c>
    </row>
    <row r="61" spans="4:10" x14ac:dyDescent="0.2">
      <c r="D61" s="86">
        <v>46</v>
      </c>
      <c r="E61" s="31" t="s">
        <v>1482</v>
      </c>
      <c r="F61" s="31" t="b">
        <f t="shared" si="1"/>
        <v>1</v>
      </c>
      <c r="G61" s="261">
        <f>MAX(Model!$H$159:$Q$159)-MIN(Model!$H$159:$Q$159)</f>
        <v>0</v>
      </c>
      <c r="H61" s="311">
        <v>0</v>
      </c>
      <c r="I61" s="52">
        <v>9.9999999999999995E-8</v>
      </c>
      <c r="J61" s="31" t="s">
        <v>1483</v>
      </c>
    </row>
    <row r="62" spans="4:10" x14ac:dyDescent="0.2">
      <c r="D62" s="86">
        <v>47</v>
      </c>
      <c r="E62" s="31" t="s">
        <v>1874</v>
      </c>
      <c r="F62" s="31" t="b">
        <f t="shared" si="1"/>
        <v>1</v>
      </c>
      <c r="G62" s="261">
        <f>DCF!$O$109</f>
        <v>9.69E-2</v>
      </c>
      <c r="H62" s="311">
        <f>DCF!$E$10</f>
        <v>9.69E-2</v>
      </c>
      <c r="I62" s="52">
        <v>9.9999999999999995E-8</v>
      </c>
      <c r="J62" s="31" t="s">
        <v>1484</v>
      </c>
    </row>
    <row r="63" spans="4:10" x14ac:dyDescent="0.2">
      <c r="D63" s="86">
        <v>48</v>
      </c>
      <c r="E63" s="31" t="s">
        <v>1485</v>
      </c>
      <c r="F63" s="31" t="b">
        <f t="shared" si="1"/>
        <v>1</v>
      </c>
      <c r="G63" s="258">
        <f>Sensitivities!$G$159</f>
        <v>5.9994689892712387E-2</v>
      </c>
      <c r="H63" s="281">
        <v>0.06</v>
      </c>
      <c r="I63" s="288">
        <v>0.03</v>
      </c>
      <c r="J63" s="31" t="s">
        <v>1486</v>
      </c>
    </row>
    <row r="64" spans="4:10" x14ac:dyDescent="0.2">
      <c r="D64" s="86">
        <v>49</v>
      </c>
      <c r="E64" s="31" t="s">
        <v>2009</v>
      </c>
      <c r="F64" s="31" t="b">
        <f t="shared" ref="F64:F69" si="2">ABS(G64-H64)&lt;=I64</f>
        <v>1</v>
      </c>
      <c r="G64" s="278">
        <f>Sensitivities!$I$234</f>
        <v>181.12115013857618</v>
      </c>
      <c r="H64" s="277">
        <f>Sensitivities!$H$18</f>
        <v>181.12115013857618</v>
      </c>
      <c r="I64" s="275">
        <v>1E-4</v>
      </c>
      <c r="J64" s="31" t="s">
        <v>1500</v>
      </c>
    </row>
    <row r="65" spans="4:10" x14ac:dyDescent="0.2">
      <c r="D65" s="86">
        <v>50</v>
      </c>
      <c r="E65" s="31" t="s">
        <v>2010</v>
      </c>
      <c r="F65" s="31" t="b">
        <f t="shared" si="2"/>
        <v>1</v>
      </c>
      <c r="G65" s="278">
        <f>ABS(Sensitivities!$I$238-Sensitivities!$H$156)+ABS(Sensitivities!$I$241-Sensitivities!$H$161)</f>
        <v>0</v>
      </c>
      <c r="H65" s="277">
        <v>0</v>
      </c>
      <c r="I65" s="275">
        <v>1E-4</v>
      </c>
      <c r="J65" s="31" t="s">
        <v>1501</v>
      </c>
    </row>
    <row r="66" spans="4:10" x14ac:dyDescent="0.2">
      <c r="D66" s="86">
        <v>51</v>
      </c>
      <c r="E66" s="31" t="s">
        <v>1829</v>
      </c>
      <c r="F66" s="31" t="b">
        <f t="shared" si="2"/>
        <v>1</v>
      </c>
      <c r="G66" s="278">
        <f>Inputs!$L$51/MAX(Inputs!$L$52,0.01)-1</f>
        <v>5.2527890481712802E-8</v>
      </c>
      <c r="H66" s="277">
        <v>0</v>
      </c>
      <c r="I66" s="275">
        <v>1E-3</v>
      </c>
      <c r="J66" s="31" t="s">
        <v>1790</v>
      </c>
    </row>
    <row r="67" spans="4:10" ht="25.5" x14ac:dyDescent="0.2">
      <c r="D67" s="86">
        <v>52</v>
      </c>
      <c r="E67" s="36" t="s">
        <v>1831</v>
      </c>
      <c r="F67" s="31" t="b">
        <f t="shared" si="2"/>
        <v>1</v>
      </c>
      <c r="G67" s="278">
        <f>SUM(Inputs!$G$57:$H$57,Inputs!$G$59:$H$59,Inputs!$G$62:$H$62,Inputs!$K$63)</f>
        <v>0</v>
      </c>
      <c r="H67" s="277">
        <v>0</v>
      </c>
      <c r="I67" s="275">
        <v>0</v>
      </c>
      <c r="J67" s="31" t="s">
        <v>2016</v>
      </c>
    </row>
    <row r="68" spans="4:10" x14ac:dyDescent="0.2">
      <c r="D68" s="86">
        <v>53</v>
      </c>
      <c r="E68" s="31" t="s">
        <v>1791</v>
      </c>
      <c r="F68" s="31" t="b">
        <f t="shared" si="2"/>
        <v>1</v>
      </c>
      <c r="G68" s="278">
        <f>SUMPRODUCT(ABS(Sensitivities!$F$285:$L$285))+SUMPRODUCT(ABS(Sensitivities!$F$301:$K$301))</f>
        <v>0</v>
      </c>
      <c r="H68" s="277">
        <v>0</v>
      </c>
      <c r="I68" s="275">
        <v>1E-4</v>
      </c>
      <c r="J68" s="31" t="s">
        <v>1792</v>
      </c>
    </row>
    <row r="69" spans="4:10" x14ac:dyDescent="0.2">
      <c r="D69" s="86">
        <v>54</v>
      </c>
      <c r="E69" s="31" t="s">
        <v>1794</v>
      </c>
      <c r="F69" s="31" t="b">
        <f t="shared" si="2"/>
        <v>1</v>
      </c>
      <c r="G69" s="290">
        <f>Moonshot!$I$89</f>
        <v>1004.7430204672513</v>
      </c>
      <c r="H69" s="312">
        <f>Moonshot!$F$30+Moonshot!$F$52+Moonshot!$F$75</f>
        <v>1004.7430204672513</v>
      </c>
      <c r="I69" s="275">
        <v>1E-4</v>
      </c>
      <c r="J69" s="31" t="s">
        <v>1793</v>
      </c>
    </row>
    <row r="70" spans="4:10" x14ac:dyDescent="0.2">
      <c r="D70" s="86">
        <v>55</v>
      </c>
      <c r="E70" s="31" t="s">
        <v>1830</v>
      </c>
      <c r="F70" s="31" t="b">
        <f>ABS(G70-H70)&lt;=I70</f>
        <v>1</v>
      </c>
      <c r="G70" s="278">
        <f>Summary!$K$6</f>
        <v>165.80522865773676</v>
      </c>
      <c r="H70" s="277">
        <f>Sensitivities!$K$18+(Moonshot!$F$22*Moonshot!$F$9*Moonshot!$F$7-Moonshot!$F$27)*MperB/Summary!$G$10</f>
        <v>165.80522865773676</v>
      </c>
      <c r="I70" s="275">
        <v>1E-4</v>
      </c>
      <c r="J70" s="31" t="s">
        <v>1793</v>
      </c>
    </row>
    <row r="71" spans="4:10" ht="25.5" x14ac:dyDescent="0.2">
      <c r="D71" s="86">
        <v>56</v>
      </c>
      <c r="E71" s="36" t="s">
        <v>2011</v>
      </c>
      <c r="F71" s="31" t="b">
        <f>ABS(G71-H71)&lt;=I71</f>
        <v>1</v>
      </c>
      <c r="G71" s="278">
        <f>ABS(SUM(Summary!$E$8:$K$8)-1)+ABS(Summary!$E$14-Sensitivities!$K$210)+ABS(Summary!$E$14-Sensitivities!$N$459)</f>
        <v>0</v>
      </c>
      <c r="H71" s="277">
        <v>0</v>
      </c>
      <c r="I71" s="275">
        <v>1E-4</v>
      </c>
      <c r="J71" s="31" t="s">
        <v>1812</v>
      </c>
    </row>
    <row r="72" spans="4:10" x14ac:dyDescent="0.2">
      <c r="D72" s="86">
        <v>57</v>
      </c>
      <c r="E72" s="31" t="s">
        <v>1896</v>
      </c>
      <c r="F72" s="31" t="b">
        <f t="shared" si="1"/>
        <v>1</v>
      </c>
      <c r="G72" s="309">
        <f>MAX(ABS(SUM(Summary!$E$8:$K$8)-1),ABS(SUM(Summary!$E$16:$K$16)-1),ABS(SUM(Summary!$E$17:$K$17)-1))</f>
        <v>0</v>
      </c>
      <c r="H72" s="310">
        <v>0</v>
      </c>
      <c r="I72" s="52">
        <v>9.9999999999999995E-7</v>
      </c>
      <c r="J72" s="31" t="s">
        <v>2017</v>
      </c>
    </row>
    <row r="73" spans="4:10" x14ac:dyDescent="0.2">
      <c r="D73" s="86">
        <v>58</v>
      </c>
      <c r="E73" s="31" t="s">
        <v>1333</v>
      </c>
      <c r="F73" s="31" t="b">
        <f>MAX(Sensitivities!$G$30,Model!$F$95)&lt;tolB</f>
        <v>1</v>
      </c>
      <c r="G73" s="239">
        <f>MAX(Sensitivities!$G$30,Model!$F$95)</f>
        <v>0</v>
      </c>
    </row>
    <row r="74" spans="4:10" x14ac:dyDescent="0.2">
      <c r="D74" s="86">
        <v>59</v>
      </c>
      <c r="E74" s="31" t="s">
        <v>1342</v>
      </c>
      <c r="F74" s="31" t="b">
        <f>G74&lt;=I74</f>
        <v>1</v>
      </c>
      <c r="G74" s="239">
        <f>MAX(ABS(Inputs!F26/MAX(Inputs!F27,0.01)-1),ABS(Inputs!G26/MAX(Inputs!G27,0.01)-1),ABS(Inputs!H26/MAX(Inputs!H27,0.01)-1),ABS(Inputs!I26/MAX(Inputs!I27,0.01)-1),ABS(Inputs!J26/MAX(Inputs!J27,0.01)-1))</f>
        <v>1.0784946494979408E-5</v>
      </c>
      <c r="H74" s="59">
        <v>0</v>
      </c>
      <c r="I74" s="60">
        <v>1E-4</v>
      </c>
      <c r="J74" s="31" t="s">
        <v>890</v>
      </c>
    </row>
    <row r="75" spans="4:10" x14ac:dyDescent="0.2">
      <c r="D75" s="86">
        <v>60</v>
      </c>
      <c r="E75" s="31" t="s">
        <v>718</v>
      </c>
      <c r="F75" s="31" t="b">
        <f>ABS(DCF!E70-DCF!E74-DCF!E68*(1-Inputs!$K$234))&lt;tolX</f>
        <v>1</v>
      </c>
      <c r="G75" s="239">
        <f>DCF!E70-DCF!E74</f>
        <v>710.02676222241291</v>
      </c>
    </row>
    <row r="77" spans="4:10" ht="25.5" x14ac:dyDescent="0.2">
      <c r="E77" s="253" t="s">
        <v>719</v>
      </c>
    </row>
    <row r="78" spans="4:10" x14ac:dyDescent="0.2">
      <c r="D78" s="86">
        <v>61</v>
      </c>
      <c r="E78" s="31" t="s">
        <v>720</v>
      </c>
      <c r="F78" s="31" t="b">
        <f>SUMPRODUCT(ABS('Compute Commitments'!AH15:AH33))&lt;tolB</f>
        <v>1</v>
      </c>
      <c r="G78" s="239">
        <f>SUMPRODUCT(ABS('Compute Commitments'!AH15:AH33))</f>
        <v>9.7699626167013776E-15</v>
      </c>
    </row>
    <row r="79" spans="4:10" x14ac:dyDescent="0.2">
      <c r="D79" s="86">
        <v>62</v>
      </c>
      <c r="E79" s="31" t="s">
        <v>721</v>
      </c>
      <c r="F79" s="31" t="b">
        <f>SUMPRODUCT(ABS('Compute Commitments'!L37:AF37+'Compute Commitments'!L38:AF38+'Compute Commitments'!L39:AF39+'Compute Commitments'!L40:AF40+'Compute Commitments'!L41:AF41-'Compute Commitments'!L34:AF34))&lt;tolB</f>
        <v>1</v>
      </c>
      <c r="G79" s="239">
        <f>SUMPRODUCT(ABS('Compute Commitments'!L37:AF37+'Compute Commitments'!L38:AF38+'Compute Commitments'!L39:AF39+'Compute Commitments'!L40:AF40+'Compute Commitments'!L41:AF41-'Compute Commitments'!L34:AF34))</f>
        <v>4.2632564145606011E-14</v>
      </c>
    </row>
    <row r="80" spans="4:10" x14ac:dyDescent="0.2">
      <c r="D80" s="86">
        <v>63</v>
      </c>
      <c r="E80" s="31" t="s">
        <v>722</v>
      </c>
      <c r="F80" s="31" t="b">
        <f>SUMPRODUCT((Model!G42:Q42+Model!G176:Q176&lt;Model!G41:Q41-tolX)*1)=0</f>
        <v>1</v>
      </c>
      <c r="G80" s="239">
        <f>SUMPRODUCT((Model!G42:Q42+Model!G176:Q176&lt;Model!G41:Q41-0.000001)*1)</f>
        <v>0</v>
      </c>
    </row>
    <row r="81" spans="4:9" x14ac:dyDescent="0.2">
      <c r="D81" s="86">
        <v>64</v>
      </c>
      <c r="E81" s="31" t="s">
        <v>723</v>
      </c>
      <c r="F81" s="31" t="b">
        <f>SUMPRODUCT(ABS(Model!G35:Q35-Model!G42:Q42-Model!G46:Q46-Model!G48:Q48-Model!G50:Q50-Model!G52:Q52-Model!G54:Q54+Model!G55:Q55-Model!G56:Q56-Model!G58:Q58))&lt;tolX</f>
        <v>1</v>
      </c>
    </row>
    <row r="82" spans="4:9" x14ac:dyDescent="0.2">
      <c r="D82" s="86">
        <v>65</v>
      </c>
      <c r="E82" s="31" t="s">
        <v>724</v>
      </c>
      <c r="F82" s="31" t="b">
        <f>AND(MIN(Model!G65:Q65)&gt;=-tolX,MIN(Model!G66:Q66)&gt;=-tolX)</f>
        <v>1</v>
      </c>
      <c r="G82" s="239">
        <f>MIN(Model!G65:Q65)</f>
        <v>0</v>
      </c>
    </row>
    <row r="83" spans="4:9" x14ac:dyDescent="0.2">
      <c r="D83" s="86">
        <v>66</v>
      </c>
      <c r="E83" s="31" t="s">
        <v>725</v>
      </c>
      <c r="F83" s="31" t="b">
        <f>MIN(Model!G68:Q68)&gt;=-tolX</f>
        <v>1</v>
      </c>
      <c r="G83" s="239">
        <f>MIN(Model!G68:Q68)</f>
        <v>0</v>
      </c>
    </row>
    <row r="84" spans="4:9" x14ac:dyDescent="0.2">
      <c r="D84" s="86">
        <v>67</v>
      </c>
      <c r="E84" s="31" t="s">
        <v>726</v>
      </c>
      <c r="F84" s="31" t="b">
        <f>DCF!E10&gt;Inputs!$K$185</f>
        <v>1</v>
      </c>
      <c r="G84" s="239">
        <f>DCF!E10-Inputs!$K$185</f>
        <v>6.1899999999999997E-2</v>
      </c>
    </row>
    <row r="85" spans="4:9" x14ac:dyDescent="0.2">
      <c r="D85" s="86">
        <v>68</v>
      </c>
      <c r="E85" s="31" t="s">
        <v>2008</v>
      </c>
      <c r="F85" s="31" t="b">
        <f>SUMPRODUCT((Sensitivities!I67:M72&lt;=Sensitivities!I66:M71)*1)=0</f>
        <v>1</v>
      </c>
      <c r="G85" s="239">
        <f>SUMPRODUCT((Sensitivities!I67:M72&lt;=Sensitivities!I66:M71)*1)</f>
        <v>0</v>
      </c>
    </row>
    <row r="86" spans="4:9" x14ac:dyDescent="0.2">
      <c r="D86" s="86">
        <v>69</v>
      </c>
      <c r="E86" s="31" t="s">
        <v>727</v>
      </c>
      <c r="F86" s="31" t="b">
        <f>DCF!E75&gt;=DCF!E70-tolX</f>
        <v>1</v>
      </c>
      <c r="G86" s="307">
        <f>DCF!E76</f>
        <v>28.54326146196172</v>
      </c>
    </row>
    <row r="87" spans="4:9" x14ac:dyDescent="0.2">
      <c r="D87" s="86">
        <v>70</v>
      </c>
      <c r="E87" s="31" t="s">
        <v>893</v>
      </c>
      <c r="F87" s="31" t="b">
        <f>ISNUMBER(MATCH('Start here'!$E$5,Sensitivities!$F$16:$K$16,0))</f>
        <v>1</v>
      </c>
      <c r="G87" s="307">
        <f>Inputs!$K$5</f>
        <v>2</v>
      </c>
    </row>
    <row r="88" spans="4:9" x14ac:dyDescent="0.2">
      <c r="D88" s="86">
        <v>71</v>
      </c>
      <c r="E88" s="31" t="s">
        <v>728</v>
      </c>
      <c r="F88" s="31" t="b">
        <f>ABS('Tax Schedule'!F11-'Dilution Calcs'!I24)&lt;tolB</f>
        <v>1</v>
      </c>
      <c r="G88" s="307">
        <f>'Tax Schedule'!F11</f>
        <v>1049.6310000000001</v>
      </c>
    </row>
    <row r="89" spans="4:9" x14ac:dyDescent="0.2">
      <c r="D89" s="86">
        <v>72</v>
      </c>
      <c r="E89" s="31" t="s">
        <v>729</v>
      </c>
      <c r="F89" s="31" t="b">
        <f>ABS(Sensitivities!$F$32-'Tax Schedule'!F21)+ABS(Sensitivities!$G$32-'Tax Schedule'!F23)+ABS(Sensitivities!$H$32-'Tax Schedule'!F25)&lt;tolB</f>
        <v>1</v>
      </c>
      <c r="G89" s="239">
        <f>ABS(Sensitivities!$F$32-'Tax Schedule'!F21)+ABS(Sensitivities!$G$32-'Tax Schedule'!F23)+ABS(Sensitivities!$H$32-'Tax Schedule'!F25)</f>
        <v>7.1054273576010019E-15</v>
      </c>
    </row>
    <row r="90" spans="4:9" x14ac:dyDescent="0.2">
      <c r="D90" s="86">
        <v>73</v>
      </c>
      <c r="E90" s="31" t="s">
        <v>901</v>
      </c>
      <c r="F90" s="31" t="b">
        <f>ABS(Sensitivities!$I$55-Sensitivities!$E$55)&lt;Tol</f>
        <v>1</v>
      </c>
      <c r="G90" s="239">
        <f>Sensitivities!$I$55-Sensitivities!$E$55</f>
        <v>0</v>
      </c>
    </row>
    <row r="91" spans="4:9" x14ac:dyDescent="0.2">
      <c r="D91" s="86">
        <v>74</v>
      </c>
      <c r="E91" s="31" t="s">
        <v>730</v>
      </c>
      <c r="F91" s="31" t="b">
        <f>ABS(Inputs!$K$245+Inputs!$K$246+Inputs!$K$247+Inputs!$K$248-1)&lt;tolX</f>
        <v>1</v>
      </c>
      <c r="G91" s="307">
        <f>Inputs!$K$248</f>
        <v>9.9999999999999978E-2</v>
      </c>
    </row>
    <row r="93" spans="4:9" x14ac:dyDescent="0.2">
      <c r="E93" s="164" t="s">
        <v>731</v>
      </c>
      <c r="F93" s="164" t="b">
        <f>AND(SUMPRODUCT(--ISERROR(F13:F92))+SUMPRODUCT(--ISERROR(F96:F105))=0,COUNTIF(F13:F92,FALSE)+COUNTIF(F96:F105,FALSE)=0,COUNTIF(F13:F92,TRUE)+COUNTIF(F96:F105,TRUE)&gt;0)</f>
        <v>1</v>
      </c>
    </row>
    <row r="95" spans="4:9" x14ac:dyDescent="0.2">
      <c r="E95" s="306" t="s">
        <v>2012</v>
      </c>
    </row>
    <row r="96" spans="4:9" x14ac:dyDescent="0.2">
      <c r="E96" s="31" t="s">
        <v>1897</v>
      </c>
      <c r="F96" s="31" t="b">
        <f>ABS(G96-H96)&lt;=I96</f>
        <v>1</v>
      </c>
      <c r="G96" s="307">
        <f>COUNTIF(Summary!$E$8:$K$8,"&lt;0")+COUNTIF(Summary!$E$8:$K$8,"&gt;1")+COUNTIF(Summary!$E$16:$K$16,"&lt;0")+COUNTIF(Summary!$E$16:$K$16,"&gt;1")+COUNTIF(Summary!$E$17:$K$17,"&lt;0")+COUNTIF(Summary!$E$17:$K$17,"&gt;1")</f>
        <v>0</v>
      </c>
      <c r="H96" s="23">
        <v>0</v>
      </c>
      <c r="I96" s="23">
        <f>tolX</f>
        <v>9.9999999999999995E-7</v>
      </c>
    </row>
    <row r="97" spans="5:10" x14ac:dyDescent="0.2">
      <c r="E97" s="31" t="s">
        <v>1898</v>
      </c>
      <c r="F97" s="31" t="b">
        <f t="shared" ref="F97:F104" si="3">ABS(G97-H97)&lt;=I97</f>
        <v>1</v>
      </c>
      <c r="G97" s="307">
        <f>SUMPRODUCT(ABS(DCF!$F$100:$O$100-DCF!$F$117:$O$117-DCF!$F$101:$O$101))</f>
        <v>0</v>
      </c>
      <c r="H97" s="23">
        <v>0</v>
      </c>
      <c r="I97" s="23">
        <f>tolX</f>
        <v>9.9999999999999995E-7</v>
      </c>
    </row>
    <row r="98" spans="5:10" x14ac:dyDescent="0.2">
      <c r="E98" s="31" t="s">
        <v>1899</v>
      </c>
      <c r="F98" s="31" t="b">
        <f t="shared" si="3"/>
        <v>1</v>
      </c>
      <c r="G98" s="307">
        <f>DCF!$I$124-DCF!$I$122*(1-Model!$F$25/Inputs!$K$186)</f>
        <v>0</v>
      </c>
      <c r="H98" s="23">
        <v>0</v>
      </c>
      <c r="I98" s="23">
        <f>tolX</f>
        <v>9.9999999999999995E-7</v>
      </c>
    </row>
    <row r="99" spans="5:10" x14ac:dyDescent="0.2">
      <c r="E99" s="31" t="s">
        <v>1900</v>
      </c>
      <c r="F99" s="31" t="b">
        <f t="shared" si="3"/>
        <v>1</v>
      </c>
      <c r="G99" s="307">
        <f>(Sensitivities!$G$466&gt;=Sensitivities!$G$18)+(Sensitivities!$G$18&gt;=Sensitivities!$G$467)</f>
        <v>0</v>
      </c>
      <c r="H99" s="23">
        <v>0</v>
      </c>
      <c r="I99" s="23">
        <f>tolX</f>
        <v>9.9999999999999995E-7</v>
      </c>
    </row>
    <row r="100" spans="5:10" x14ac:dyDescent="0.2">
      <c r="E100" s="31" t="s">
        <v>1901</v>
      </c>
      <c r="F100" s="31" t="b">
        <f t="shared" si="3"/>
        <v>1</v>
      </c>
      <c r="G100" s="307">
        <f>(1-EXP(-'Revenue Engine'!$F$12*'Revenue Engine'!$H$12))/(1-EXP(-'Revenue Engine'!$F$12*'Revenue Engine'!$F$24))</f>
        <v>0.5</v>
      </c>
      <c r="H100" s="23">
        <v>0.5</v>
      </c>
      <c r="I100" s="23">
        <v>1E-4</v>
      </c>
    </row>
    <row r="101" spans="5:10" x14ac:dyDescent="0.2">
      <c r="E101" s="31" t="s">
        <v>1902</v>
      </c>
      <c r="F101" s="31" t="b">
        <f t="shared" si="3"/>
        <v>1</v>
      </c>
      <c r="G101" s="307">
        <f>COUNTIF(Inputs!$F$16:$J$16,"&lt;"&amp;Inputs!$K$29)+COUNTIF(Inputs!$F$16:$J$16,"&gt;"&amp;Inputs!$K$30)</f>
        <v>0</v>
      </c>
      <c r="H101" s="23">
        <v>0</v>
      </c>
      <c r="I101" s="23">
        <f>tolX</f>
        <v>9.9999999999999995E-7</v>
      </c>
    </row>
    <row r="102" spans="5:10" x14ac:dyDescent="0.2">
      <c r="E102" s="31" t="s">
        <v>1903</v>
      </c>
      <c r="F102" s="31" t="b">
        <f t="shared" si="3"/>
        <v>1</v>
      </c>
      <c r="G102" s="307">
        <f>ABS(Inputs!$K$32/MAX(Inputs!$K$33,0.01)-1)</f>
        <v>2.8654277632877978E-6</v>
      </c>
      <c r="H102" s="23">
        <v>0</v>
      </c>
      <c r="I102" s="313">
        <f>$I$74</f>
        <v>1E-4</v>
      </c>
    </row>
    <row r="103" spans="5:10" x14ac:dyDescent="0.2">
      <c r="E103" s="31" t="s">
        <v>1904</v>
      </c>
      <c r="F103" s="31" t="b">
        <f t="shared" si="3"/>
        <v>1</v>
      </c>
      <c r="G103" s="307">
        <f>SUMPRODUCT(--ISERROR(Summary!$D$5:$K$85))+SUMPRODUCT(--ISERROR(DCF!$E$7:$O$125))+SUMPRODUCT(--ISERROR(Model!$F$86:$F$108))+SUMPRODUCT(--ISERROR(Sensitivities!$E$17:$O$60))+SUMPRODUCT(--ISERROR(Sensitivities!$E$465:$M$474))</f>
        <v>0</v>
      </c>
      <c r="H103" s="23">
        <v>0</v>
      </c>
      <c r="I103" s="23">
        <f>tolX</f>
        <v>9.9999999999999995E-7</v>
      </c>
    </row>
    <row r="104" spans="5:10" x14ac:dyDescent="0.2">
      <c r="E104" s="36" t="s">
        <v>2019</v>
      </c>
      <c r="F104" s="31" t="b">
        <f t="shared" si="3"/>
        <v>1</v>
      </c>
      <c r="G104" s="307">
        <f>Sensitivities!$I$159</f>
        <v>3.0000121001277264E-2</v>
      </c>
      <c r="H104" s="314">
        <f>Inputs!$K$31</f>
        <v>0.03</v>
      </c>
      <c r="I104" s="23">
        <v>5.0000000000000001E-4</v>
      </c>
    </row>
    <row r="105" spans="5:10" ht="25.5" x14ac:dyDescent="0.2">
      <c r="E105" s="36" t="s">
        <v>2127</v>
      </c>
      <c r="F105" s="31" t="b">
        <f>ABS(G105-H105)&lt;=I105</f>
        <v>1</v>
      </c>
      <c r="G105" s="307">
        <f>Sensitivities!$K$65-Sensitivities!$N$65</f>
        <v>0</v>
      </c>
      <c r="H105" s="23">
        <v>0</v>
      </c>
      <c r="I105" s="23">
        <f>tolX</f>
        <v>9.9999999999999995E-7</v>
      </c>
    </row>
    <row r="106" spans="5:10" ht="13.5" customHeight="1" x14ac:dyDescent="0.2">
      <c r="E106" s="367" t="s">
        <v>2103</v>
      </c>
      <c r="F106" s="367"/>
      <c r="G106" s="367"/>
      <c r="H106" s="367"/>
      <c r="I106" s="367"/>
      <c r="J106" s="367"/>
    </row>
    <row r="107" spans="5:10" ht="27" customHeight="1" x14ac:dyDescent="0.2">
      <c r="E107" s="366" t="s">
        <v>2128</v>
      </c>
      <c r="F107" s="366"/>
      <c r="G107" s="366"/>
      <c r="H107" s="366"/>
      <c r="I107" s="366"/>
      <c r="J107" s="366"/>
    </row>
    <row r="108" spans="5:10" ht="27" customHeight="1" x14ac:dyDescent="0.2">
      <c r="E108" s="366" t="s">
        <v>2104</v>
      </c>
      <c r="F108" s="366"/>
      <c r="G108" s="366"/>
      <c r="H108" s="366"/>
      <c r="I108" s="366"/>
      <c r="J108" s="366"/>
    </row>
    <row r="109" spans="5:10" ht="13.5" customHeight="1" x14ac:dyDescent="0.2">
      <c r="E109" s="366" t="s">
        <v>2105</v>
      </c>
      <c r="F109" s="366"/>
      <c r="G109" s="366"/>
      <c r="H109" s="366"/>
      <c r="I109" s="366"/>
      <c r="J109" s="366"/>
    </row>
    <row r="110" spans="5:10" ht="27" customHeight="1" x14ac:dyDescent="0.2">
      <c r="E110" s="366" t="s">
        <v>2106</v>
      </c>
      <c r="F110" s="366"/>
      <c r="G110" s="366"/>
      <c r="H110" s="366"/>
      <c r="I110" s="366"/>
      <c r="J110" s="366"/>
    </row>
    <row r="111" spans="5:10" ht="27" customHeight="1" x14ac:dyDescent="0.2">
      <c r="E111" s="366" t="s">
        <v>2129</v>
      </c>
      <c r="F111" s="366"/>
      <c r="G111" s="366"/>
      <c r="H111" s="366"/>
      <c r="I111" s="366"/>
      <c r="J111" s="366"/>
    </row>
    <row r="112" spans="5:10" ht="13.5" customHeight="1" x14ac:dyDescent="0.2">
      <c r="E112" s="366" t="s">
        <v>2107</v>
      </c>
      <c r="F112" s="366"/>
      <c r="G112" s="366"/>
      <c r="H112" s="366"/>
      <c r="I112" s="366"/>
      <c r="J112" s="366"/>
    </row>
    <row r="113" spans="5:10" ht="13.5" customHeight="1" x14ac:dyDescent="0.2">
      <c r="E113" s="366" t="s">
        <v>2108</v>
      </c>
      <c r="F113" s="366"/>
      <c r="G113" s="366"/>
      <c r="H113" s="366"/>
      <c r="I113" s="366"/>
      <c r="J113" s="366"/>
    </row>
    <row r="114" spans="5:10" ht="13.5" customHeight="1" x14ac:dyDescent="0.2">
      <c r="E114" s="366" t="s">
        <v>2109</v>
      </c>
      <c r="F114" s="366"/>
      <c r="G114" s="366"/>
      <c r="H114" s="366"/>
      <c r="I114" s="366"/>
      <c r="J114" s="366"/>
    </row>
  </sheetData>
  <mergeCells count="9">
    <mergeCell ref="E112:J112"/>
    <mergeCell ref="E113:J113"/>
    <mergeCell ref="E114:J114"/>
    <mergeCell ref="E106:J106"/>
    <mergeCell ref="E107:J107"/>
    <mergeCell ref="E108:J108"/>
    <mergeCell ref="E109:J109"/>
    <mergeCell ref="E110:J110"/>
    <mergeCell ref="E111:J111"/>
  </mergeCells>
  <conditionalFormatting sqref="F13:F93">
    <cfRule type="cellIs" dxfId="3" priority="7" operator="equal">
      <formula>TRUE</formula>
    </cfRule>
    <cfRule type="cellIs" dxfId="2" priority="8" operator="equal">
      <formula>FALSE</formula>
    </cfRule>
  </conditionalFormatting>
  <conditionalFormatting sqref="F95:F105">
    <cfRule type="cellIs" dxfId="1" priority="1" operator="equal">
      <formula>TRUE</formula>
    </cfRule>
    <cfRule type="cellIs" dxfId="0" priority="2" operator="equal">
      <formula>FALSE</formula>
    </cfRule>
  </conditionalFormatting>
  <pageMargins left="0.75" right="0.75" top="1" bottom="1" header="0.5" footer="0.5"/>
  <pageSetup scale="60" fitToHeight="0" orientation="landscape"/>
  <headerFooter>
    <oddFooter>&amp;C&amp;A, 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56</vt:i4>
      </vt:variant>
    </vt:vector>
  </HeadingPairs>
  <TitlesOfParts>
    <vt:vector size="72" baseType="lpstr">
      <vt:lpstr>Your case</vt:lpstr>
      <vt:lpstr>Start here</vt:lpstr>
      <vt:lpstr>Inputs</vt:lpstr>
      <vt:lpstr>Filing Data</vt:lpstr>
      <vt:lpstr>Revenue Engine</vt:lpstr>
      <vt:lpstr>Model</vt:lpstr>
      <vt:lpstr>DCF</vt:lpstr>
      <vt:lpstr>Summary</vt:lpstr>
      <vt:lpstr>Sensitivities</vt:lpstr>
      <vt:lpstr>Moonshot</vt:lpstr>
      <vt:lpstr>Compute Commitments</vt:lpstr>
      <vt:lpstr>Dilution Calcs</vt:lpstr>
      <vt:lpstr>Tax Schedule</vt:lpstr>
      <vt:lpstr>Reverse Valuation</vt:lpstr>
      <vt:lpstr>Historicals</vt:lpstr>
      <vt:lpstr>Checks</vt:lpstr>
      <vt:lpstr>BaseYear</vt:lpstr>
      <vt:lpstr>BetaMature</vt:lpstr>
      <vt:lpstr>CAGRyrs</vt:lpstr>
      <vt:lpstr>CommodMarketTarget</vt:lpstr>
      <vt:lpstr>CostOfEquity</vt:lpstr>
      <vt:lpstr>dt_Case</vt:lpstr>
      <vt:lpstr>dt_Decay</vt:lpstr>
      <vt:lpstr>dt_Growth</vt:lpstr>
      <vt:lpstr>dt_Margin</vt:lpstr>
      <vt:lpstr>dt_Replay</vt:lpstr>
      <vt:lpstr>dt_Scenario</vt:lpstr>
      <vt:lpstr>dt_Serve</vt:lpstr>
      <vt:lpstr>dt_TermGrowth</vt:lpstr>
      <vt:lpstr>dt_Train</vt:lpstr>
      <vt:lpstr>dt_WACC</vt:lpstr>
      <vt:lpstr>dt_Your</vt:lpstr>
      <vt:lpstr>EquityRiskPremium</vt:lpstr>
      <vt:lpstr>IPODate</vt:lpstr>
      <vt:lpstr>MidYear</vt:lpstr>
      <vt:lpstr>MperB</vt:lpstr>
      <vt:lpstr>MperY</vt:lpstr>
      <vt:lpstr>PlanR3Price</vt:lpstr>
      <vt:lpstr>Checks!Print_Area</vt:lpstr>
      <vt:lpstr>'Compute Commitments'!Print_Area</vt:lpstr>
      <vt:lpstr>DCF!Print_Area</vt:lpstr>
      <vt:lpstr>'Dilution Calcs'!Print_Area</vt:lpstr>
      <vt:lpstr>'Filing Data'!Print_Area</vt:lpstr>
      <vt:lpstr>Historicals!Print_Area</vt:lpstr>
      <vt:lpstr>Inputs!Print_Area</vt:lpstr>
      <vt:lpstr>Model!Print_Area</vt:lpstr>
      <vt:lpstr>Moonshot!Print_Area</vt:lpstr>
      <vt:lpstr>'Revenue Engine'!Print_Area</vt:lpstr>
      <vt:lpstr>'Reverse Valuation'!Print_Area</vt:lpstr>
      <vt:lpstr>Sensitivities!Print_Area</vt:lpstr>
      <vt:lpstr>'Start here'!Print_Area</vt:lpstr>
      <vt:lpstr>Summary!Print_Area</vt:lpstr>
      <vt:lpstr>'Tax Schedule'!Print_Area</vt:lpstr>
      <vt:lpstr>Checks!Print_Titles</vt:lpstr>
      <vt:lpstr>'Filing Data'!Print_Titles</vt:lpstr>
      <vt:lpstr>Inputs!Print_Titles</vt:lpstr>
      <vt:lpstr>Model!Print_Titles</vt:lpstr>
      <vt:lpstr>QperY</vt:lpstr>
      <vt:lpstr>RiskFree</vt:lpstr>
      <vt:lpstr>SalesToCapital</vt:lpstr>
      <vt:lpstr>Scenario</vt:lpstr>
      <vt:lpstr>ScenarioInUse</vt:lpstr>
      <vt:lpstr>StubQ</vt:lpstr>
      <vt:lpstr>Target1p5T</vt:lpstr>
      <vt:lpstr>Target2T</vt:lpstr>
      <vt:lpstr>TaxRate</vt:lpstr>
      <vt:lpstr>TerminalGrowth</vt:lpstr>
      <vt:lpstr>Tol</vt:lpstr>
      <vt:lpstr>tolB</vt:lpstr>
      <vt:lpstr>tolM</vt:lpstr>
      <vt:lpstr>tolX</vt:lpstr>
      <vt:lpstr>ValDate</vt:lpstr>
    </vt:vector>
  </TitlesOfParts>
  <Company>StreetCred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Anthropic valuation model (public version)</dc:title>
  <dc:creator>StreetCred</dc:creator>
  <dc:description>Educational analysis, not investment advice.</dc:description>
  <cp:lastModifiedBy>StreetCred</cp:lastModifiedBy>
  <dcterms:created xsi:type="dcterms:W3CDTF">2026-11-05T00:00:00Z</dcterms:created>
  <dcterms:modified xsi:type="dcterms:W3CDTF">2026-11-05T00:00:00Z</dcterms:modified>
</cp:coreProperties>
</file>